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User\Compras Licitacao Contratos\LICITAÇÕES\2026\09-2026 - PE - Terceirização de serviços de limpeza - 9079623110000643.0000132026-11\ComprasGov\"/>
    </mc:Choice>
  </mc:AlternateContent>
  <xr:revisionPtr revIDLastSave="0" documentId="8_{B1F40899-D096-4CDE-B6BD-A6CB7AE00F67}" xr6:coauthVersionLast="47" xr6:coauthVersionMax="47" xr10:uidLastSave="{00000000-0000-0000-0000-000000000000}"/>
  <bookViews>
    <workbookView xWindow="-120" yWindow="-120" windowWidth="29040" windowHeight="15720" tabRatio="904" xr2:uid="{00000000-000D-0000-FFFF-FFFF00000000}"/>
  </bookViews>
  <sheets>
    <sheet name="Lucro Real - Fato Gerador" sheetId="4" r:id="rId1"/>
    <sheet name="DADOS CAGED PR" sheetId="6" r:id="rId2"/>
    <sheet name="Ausências Legais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7" i="4" l="1"/>
  <c r="I68" i="4" s="1"/>
  <c r="I75" i="4"/>
  <c r="I76" i="4"/>
  <c r="I70" i="4"/>
  <c r="I69" i="4"/>
  <c r="I67" i="4"/>
  <c r="I61" i="4"/>
  <c r="I60" i="4"/>
  <c r="I57" i="4"/>
  <c r="I55" i="4"/>
  <c r="I54" i="4"/>
  <c r="I53" i="4"/>
  <c r="I52" i="4"/>
  <c r="I51" i="4"/>
  <c r="I50" i="4"/>
  <c r="I33" i="4"/>
  <c r="I32" i="4"/>
  <c r="I31" i="4"/>
  <c r="I113" i="4"/>
  <c r="I145" i="4" s="1"/>
  <c r="E13" i="7"/>
  <c r="E12" i="7"/>
  <c r="H79" i="4"/>
  <c r="H31" i="4"/>
  <c r="I45" i="4" l="1"/>
  <c r="H82" i="4"/>
  <c r="I26" i="4"/>
  <c r="I23" i="4"/>
  <c r="I21" i="4"/>
  <c r="H39" i="4" l="1"/>
  <c r="H126" i="4" l="1"/>
  <c r="I98" i="4" l="1"/>
  <c r="I103" i="4" s="1"/>
  <c r="E7" i="7"/>
  <c r="E6" i="7"/>
  <c r="E5" i="7"/>
  <c r="E4" i="7"/>
  <c r="H80" i="4" l="1"/>
  <c r="B11" i="6"/>
  <c r="B10" i="6"/>
  <c r="H75" i="4" l="1"/>
  <c r="E11" i="7" l="1"/>
  <c r="E10" i="7"/>
  <c r="E9" i="7"/>
  <c r="E8" i="7"/>
  <c r="E14" i="7" s="1"/>
  <c r="H90" i="4" s="1"/>
  <c r="I22" i="4"/>
  <c r="H32" i="4" l="1"/>
  <c r="H130" i="4" l="1"/>
  <c r="H51" i="4" l="1"/>
  <c r="I78" i="4" l="1"/>
  <c r="H77" i="4"/>
  <c r="H33" i="4" l="1"/>
  <c r="I24" i="4" l="1"/>
  <c r="H34" i="4"/>
  <c r="H45" i="4" l="1"/>
  <c r="I27" i="4"/>
  <c r="B147" i="4"/>
  <c r="B145" i="4"/>
  <c r="B144" i="4"/>
  <c r="B143" i="4"/>
  <c r="H98" i="4"/>
  <c r="B141" i="4"/>
  <c r="B142" i="4"/>
  <c r="I141" i="4" l="1"/>
  <c r="I34" i="4" l="1"/>
  <c r="I38" i="4" l="1"/>
  <c r="I39" i="4"/>
  <c r="I40" i="4"/>
  <c r="I41" i="4"/>
  <c r="I42" i="4"/>
  <c r="I43" i="4"/>
  <c r="I44" i="4"/>
  <c r="I79" i="4" s="1"/>
  <c r="I71" i="4"/>
  <c r="I89" i="4"/>
  <c r="I82" i="4"/>
  <c r="I81" i="4" l="1"/>
  <c r="I80" i="4" s="1"/>
  <c r="I77" i="4"/>
  <c r="I142" i="4"/>
  <c r="I83" i="4" l="1"/>
  <c r="B18" i="7" s="1"/>
  <c r="D18" i="7" s="1"/>
  <c r="I90" i="4" s="1"/>
  <c r="I92" i="4" s="1"/>
  <c r="I143" i="4" l="1"/>
  <c r="I104" i="4"/>
  <c r="I102" i="4" l="1"/>
  <c r="I105" i="4" s="1"/>
  <c r="I144" i="4" s="1"/>
  <c r="I146" i="4" s="1"/>
  <c r="I119" i="4" s="1"/>
  <c r="I120" i="4" s="1"/>
  <c r="I133" i="4" l="1"/>
  <c r="I135" i="4" s="1"/>
  <c r="I124" i="4" l="1"/>
  <c r="I123" i="4"/>
  <c r="I122" i="4"/>
  <c r="I137" i="4"/>
  <c r="I126" i="4" l="1"/>
  <c r="I147" i="4" s="1"/>
  <c r="I148" i="4" s="1"/>
  <c r="I149" i="4" s="1"/>
  <c r="I150" i="4" s="1"/>
</calcChain>
</file>

<file path=xl/sharedStrings.xml><?xml version="1.0" encoding="utf-8"?>
<sst xmlns="http://schemas.openxmlformats.org/spreadsheetml/2006/main" count="397" uniqueCount="270">
  <si>
    <t>-</t>
  </si>
  <si>
    <t>VALOR (R$)</t>
  </si>
  <si>
    <t>Adicional Noturno</t>
  </si>
  <si>
    <t>%</t>
  </si>
  <si>
    <t>Outros (especificar)</t>
  </si>
  <si>
    <t>Lucro</t>
  </si>
  <si>
    <t>A</t>
  </si>
  <si>
    <t>B</t>
  </si>
  <si>
    <t>C</t>
  </si>
  <si>
    <t>D</t>
  </si>
  <si>
    <t>E</t>
  </si>
  <si>
    <t>F</t>
  </si>
  <si>
    <t>G</t>
  </si>
  <si>
    <t>H</t>
  </si>
  <si>
    <t>COMPOSIÇÃO DA REMUNERAÇÃO</t>
  </si>
  <si>
    <t>INSUMOS DIVERSOS</t>
  </si>
  <si>
    <t>Equipamentos</t>
  </si>
  <si>
    <t>TOTAL SUBMÓDULO 4.1</t>
  </si>
  <si>
    <t>TOTAL SUBMÓDULO 4.2</t>
  </si>
  <si>
    <t>CUSTOS INDIRETOS, TRIBUTOS E LUCRO</t>
  </si>
  <si>
    <t>4.1</t>
  </si>
  <si>
    <t>4.2</t>
  </si>
  <si>
    <t>Custos Indiretos</t>
  </si>
  <si>
    <t>Mão-de-Obra vinculada à execução contratual (valor por empregado)</t>
  </si>
  <si>
    <t>MÓDULO 1 - COMPOSIÇÃO DA REMUNERAÇÃO</t>
  </si>
  <si>
    <t>Salário Base</t>
  </si>
  <si>
    <t>TRIBUTOS</t>
  </si>
  <si>
    <t>C.1</t>
  </si>
  <si>
    <t>C.2</t>
  </si>
  <si>
    <t>C.3</t>
  </si>
  <si>
    <t>a)</t>
  </si>
  <si>
    <t>Tributos % = To = .............................................................</t>
  </si>
  <si>
    <t>b)</t>
  </si>
  <si>
    <t>c)</t>
  </si>
  <si>
    <t>Po / (1 - To) = P1 = ..............................................................................</t>
  </si>
  <si>
    <t>Valor dos Tributos = P1 - Po</t>
  </si>
  <si>
    <t xml:space="preserve">Adicional Periculosidade </t>
  </si>
  <si>
    <t>Adicional Insalubridade</t>
  </si>
  <si>
    <t>Adicional de Hora Noturna Reduzida</t>
  </si>
  <si>
    <t>MÓDULO 2 – ENCARGOS E BENEFÍCIOS ANUAIS, MENSAIS E DIÁRIOS</t>
  </si>
  <si>
    <t>13º Salário, Férias e Adicional de Férias</t>
  </si>
  <si>
    <t>TOTAL SUBMÓDULO 2.1</t>
  </si>
  <si>
    <t>SESC ou SESI</t>
  </si>
  <si>
    <t xml:space="preserve">INSS </t>
  </si>
  <si>
    <t xml:space="preserve">Salário Educação </t>
  </si>
  <si>
    <t>SAT (Seguro Acidente de Trabalho)</t>
  </si>
  <si>
    <t xml:space="preserve">SENAI - SENAC </t>
  </si>
  <si>
    <t xml:space="preserve">SEBRAE </t>
  </si>
  <si>
    <t xml:space="preserve">INCRA </t>
  </si>
  <si>
    <t xml:space="preserve">FGTS </t>
  </si>
  <si>
    <t>TOTAL SUBMÓDULO 2.2</t>
  </si>
  <si>
    <t>Submódulo 2.1 - 13º Salário, Férias e Adicional de Férias</t>
  </si>
  <si>
    <t>Submódulo 2.2 - GPS, FGTS e Outras Contribuições</t>
  </si>
  <si>
    <t>Submódulo 2.3 - Benefícios Mensais e Diários</t>
  </si>
  <si>
    <t xml:space="preserve">Transporte </t>
  </si>
  <si>
    <t>TOTAL SUBMÓDULO 2.3</t>
  </si>
  <si>
    <t>QUADRO-RESUMO DO MÓDULO 2 - ENCARGOS, BENEFÍCIOS ANUAIS, MENSAIS E DIÁRIOS</t>
  </si>
  <si>
    <t>2.1</t>
  </si>
  <si>
    <t>2.2</t>
  </si>
  <si>
    <t>2.3</t>
  </si>
  <si>
    <t>Módulo 2 - Encargos, Benefícios Anuais, Mensais e Diários</t>
  </si>
  <si>
    <t>Benefícios Mensais e Diários</t>
  </si>
  <si>
    <t>TOTAL DO MÓDULO 1</t>
  </si>
  <si>
    <t>TOTAL DO MÓDULO 2</t>
  </si>
  <si>
    <t>MÓDULO 3 – PROVISÃO PARA RESCISÃO</t>
  </si>
  <si>
    <t>PROVISÃO PARA RESCISÃO</t>
  </si>
  <si>
    <t>Aviso Prévio Indenizado</t>
  </si>
  <si>
    <t>TOTAL DO MÓDULO 3</t>
  </si>
  <si>
    <t>MÓDULO 4 – CUSTO DE REPOSIÇÃO DO PROFISSIONAL AUSENTE</t>
  </si>
  <si>
    <t>Ausências Legais</t>
  </si>
  <si>
    <t>QUADRO-RESUMO DO MÓDULO 4 - CUSTO DE REPOSIÇÃO DO PROFISSIONAL AUSENTE</t>
  </si>
  <si>
    <t>Módulo 4 - Custo de Reposição do Profissional Ausente</t>
  </si>
  <si>
    <t>Intrajornada</t>
  </si>
  <si>
    <t>TOTAL DO MÓDULO 4</t>
  </si>
  <si>
    <t>MÓDULO 5 – INSUMOS DIVERSOS</t>
  </si>
  <si>
    <t xml:space="preserve">Uniformes </t>
  </si>
  <si>
    <t>TOTAL DO MÓDULO 5</t>
  </si>
  <si>
    <t>MÓDULO 6 – CUSTOS INDIRETOS, TRIBUTOS E LUCRO</t>
  </si>
  <si>
    <t>TOTAL DO MÓDULO 6</t>
  </si>
  <si>
    <t>(Total dos Módulos 1, 2, 3, 4 e 5+ Custos indiretos + lucro)= Po = ...................................</t>
  </si>
  <si>
    <t>QUADRO RESUMO DO CUSTO POR EMPREGADO</t>
  </si>
  <si>
    <t>Subtotal (A + B + C + D + E)</t>
  </si>
  <si>
    <t>Acúmulo de função</t>
  </si>
  <si>
    <t>(-) Desconto de transporte</t>
  </si>
  <si>
    <t>(-) Desconto de alimentação/refeição</t>
  </si>
  <si>
    <t>Auxílio Refeição/Alimentação durante férias (se houver)</t>
  </si>
  <si>
    <t>Assistência Médica</t>
  </si>
  <si>
    <t>Auxílio Creche</t>
  </si>
  <si>
    <t>Benefício Social Familiar</t>
  </si>
  <si>
    <t>Fundo de formação</t>
  </si>
  <si>
    <t>Auxílio-Refeição/Alimentação</t>
  </si>
  <si>
    <t>PIS</t>
  </si>
  <si>
    <t>COFINS</t>
  </si>
  <si>
    <t>ISS</t>
  </si>
  <si>
    <t>4.3</t>
  </si>
  <si>
    <t>Incidência do subitem 2.2 sobre o módulo 4.1</t>
  </si>
  <si>
    <t>FAP =</t>
  </si>
  <si>
    <t>(-) Desconto de alimentação/refeição durante férias (se houver)</t>
  </si>
  <si>
    <t>Multa do FGTS sobre o Aviso Prévio Indenizado</t>
  </si>
  <si>
    <t>Art. 2º, §3º, da Lei 11.457/2007</t>
  </si>
  <si>
    <t>Art. 15, da Lei 8.036/1990</t>
  </si>
  <si>
    <t>Art. 30, da Lei 8.036/1990</t>
  </si>
  <si>
    <t>Art. 1º, caput, do Decreto Lei 6.246/1944 e art. 4º, caput, do Decreto Lei 8.621/1946</t>
  </si>
  <si>
    <t>Art. 1º, I, 2 c/c art. 3º do Decreto Lei 1.146/1970</t>
  </si>
  <si>
    <t>Art. 8º da Lei 8.029/1990</t>
  </si>
  <si>
    <t>Art. 3º, I, do Decreto 87.043/1982</t>
  </si>
  <si>
    <t>Férias</t>
  </si>
  <si>
    <t>Adicional de Férias</t>
  </si>
  <si>
    <t>Incidência do FGTS sobre o Aviso Prévio Indenizado</t>
  </si>
  <si>
    <t>Custo do Aviso Prévio Indenizado</t>
  </si>
  <si>
    <t>a1</t>
  </si>
  <si>
    <t>a2</t>
  </si>
  <si>
    <t>a3</t>
  </si>
  <si>
    <t>FGTS</t>
  </si>
  <si>
    <t>GPS e Outras Contribuições</t>
  </si>
  <si>
    <t>a4</t>
  </si>
  <si>
    <t>Art. 7º, XXI, CF/88 c/c arts. 477, 487 e §§ CLT</t>
  </si>
  <si>
    <t>Custo do Aviso Prévio Trabalhado</t>
  </si>
  <si>
    <t>b1</t>
  </si>
  <si>
    <t>b2</t>
  </si>
  <si>
    <t>Aviso Prévio Trabalhado</t>
  </si>
  <si>
    <t xml:space="preserve">Multa do FGTS sobre o Aviso Prévio Trabalhado </t>
  </si>
  <si>
    <t>Art. 473 da CLT</t>
  </si>
  <si>
    <t>Turno</t>
  </si>
  <si>
    <t>Diurno</t>
  </si>
  <si>
    <t>Fundamentação</t>
  </si>
  <si>
    <t>salário base x adicional de periculosidade</t>
  </si>
  <si>
    <t>Art. 7º, VIII, CF/88</t>
  </si>
  <si>
    <t>Art. 7º, XVII, CF/88</t>
  </si>
  <si>
    <t>(Remuneração + Encargos e benefícios)/12 x 7 dias de redução de trabalho/30 dias no mês = (Módulo 1 + Módulo 2)/12 x 7 dias de redução de trabalho/30 dias no mês</t>
  </si>
  <si>
    <t>Art. 18, §1º da Lei 8.036/90</t>
  </si>
  <si>
    <t>Pagamento FGTS x 40%</t>
  </si>
  <si>
    <t>API x alíquota FGTS</t>
  </si>
  <si>
    <t>[(1/12) x 100] x Módulo 1</t>
  </si>
  <si>
    <t>[(1/3)/12 x 100] x Módulo 1</t>
  </si>
  <si>
    <r>
      <t>13º salário</t>
    </r>
    <r>
      <rPr>
        <sz val="9"/>
        <color indexed="10"/>
        <rFont val="Arial"/>
        <family val="2"/>
      </rPr>
      <t xml:space="preserve"> </t>
    </r>
  </si>
  <si>
    <t>Memória de Cálculo</t>
  </si>
  <si>
    <t>Art. 22, II, da Lei nº 8.212/1991</t>
  </si>
  <si>
    <t>Art. 114, I, do Decreto nº 10.854/2021</t>
  </si>
  <si>
    <t>Art. 114, II, do Decreto nº 10.854/2021</t>
  </si>
  <si>
    <t>Lucro Real</t>
  </si>
  <si>
    <t>PLANILHA ANALÍTICA DE CUSTOS E FORMAÇÃO DE PREÇOS</t>
  </si>
  <si>
    <t>Unidade de medida</t>
  </si>
  <si>
    <t>Quantidade da unidade de medida</t>
  </si>
  <si>
    <t>Quantidade de empregados por unidade de medida</t>
  </si>
  <si>
    <t>Nº de meses da execução contratual</t>
  </si>
  <si>
    <t>Piso da Categoria Profissional</t>
  </si>
  <si>
    <t>Classificação Brasileira de Ocupações (CBO)</t>
  </si>
  <si>
    <t>Ano da norma coletiva de trabalho</t>
  </si>
  <si>
    <t>Data base da categoria</t>
  </si>
  <si>
    <t>Salário mínimo</t>
  </si>
  <si>
    <t>POSTO</t>
  </si>
  <si>
    <t>Local de prestação dos serviços</t>
  </si>
  <si>
    <t>Curitiba - PR</t>
  </si>
  <si>
    <t>20% x (Módulo 1 + Submódulo 2.1)</t>
  </si>
  <si>
    <t>2,50% x (Módulo 1 + Submódulo 2.1)</t>
  </si>
  <si>
    <t>1,50% x (Módulo 1 + Submódulo 2.1)</t>
  </si>
  <si>
    <t>1,00% x (Módulo 1 + Submódulo 2.1)</t>
  </si>
  <si>
    <t>0,60% x (Módulo 1 + Submódulo 2.1)</t>
  </si>
  <si>
    <t>0,20% x (Módulo 1 + Submódulo 2.1)</t>
  </si>
  <si>
    <t>8% x (Módulo 1 + Submódulo 2.1)</t>
  </si>
  <si>
    <t>A.1</t>
  </si>
  <si>
    <t>B.1</t>
  </si>
  <si>
    <t>Auxílio alimentação / 12 meses trabalhados no período aquisitivo</t>
  </si>
  <si>
    <t>Auxílio alimentação nas férias x 20%</t>
  </si>
  <si>
    <t>Lei nº 8.036/1990</t>
  </si>
  <si>
    <t>Súmula nº 305 do TST
CLT, art. 487, §1º</t>
  </si>
  <si>
    <t>Submódulo 4.1 - Substituto nas Ausências Legais</t>
  </si>
  <si>
    <t>Nº do registro da norma coletiva no MTE</t>
  </si>
  <si>
    <t>C.4</t>
  </si>
  <si>
    <t>CPRB</t>
  </si>
  <si>
    <t>1º de fevereiro</t>
  </si>
  <si>
    <t>§3º do art. 73 do Decreto-lei nº 9.666/1946 c/c Cláusula 10ª CCT 2024/2026</t>
  </si>
  <si>
    <t>Salário base x 6%</t>
  </si>
  <si>
    <t>CCT Cláusula 13ª, caput</t>
  </si>
  <si>
    <t>Valor de contribuição do empregador, sem faltas do empregado no período</t>
  </si>
  <si>
    <t>Dados do Cadastro Geral de Empregados e Desempregados (CAGED/MTE)</t>
  </si>
  <si>
    <t>PERCENTUAIS POR TIPO DE DESLIGAMENTO</t>
  </si>
  <si>
    <t>Tipo</t>
  </si>
  <si>
    <t>Percentual</t>
  </si>
  <si>
    <t>Demissão SEM justa causa</t>
  </si>
  <si>
    <t>Demissão COM justa causa</t>
  </si>
  <si>
    <t>Desligamentos OUTROS TIPOS</t>
  </si>
  <si>
    <t>Sem justa causa - Aviso Indenizado</t>
  </si>
  <si>
    <t>Sem justa causa - Aviso trabalhado</t>
  </si>
  <si>
    <t>Estimativa da necessidade de reposição de profissional</t>
  </si>
  <si>
    <t>Composição</t>
  </si>
  <si>
    <t>Incidência Anual</t>
  </si>
  <si>
    <t>Duração legal da ausência</t>
  </si>
  <si>
    <t>Proporção de dias afetados</t>
  </si>
  <si>
    <t>Dias de reposição</t>
  </si>
  <si>
    <t>Ausências justificadas</t>
  </si>
  <si>
    <t>Consulta médica filho</t>
  </si>
  <si>
    <t>Testemunho</t>
  </si>
  <si>
    <t>Consulta pré-natal</t>
  </si>
  <si>
    <t>Óbitos na família</t>
  </si>
  <si>
    <t>Casamento</t>
  </si>
  <si>
    <t>Doação de sangue</t>
  </si>
  <si>
    <t>Ausência por acidente de trabalho</t>
  </si>
  <si>
    <t>Afastamento por doença</t>
  </si>
  <si>
    <t>Licença paternidade</t>
  </si>
  <si>
    <t>Total para reposição</t>
  </si>
  <si>
    <t>Custo diário para o repositor - Lucro Real</t>
  </si>
  <si>
    <t>Categoria</t>
  </si>
  <si>
    <t>Base de cálculo</t>
  </si>
  <si>
    <t>Divisor do dia</t>
  </si>
  <si>
    <t>Custo diário</t>
  </si>
  <si>
    <t>CUSTO MENSAL POR EMPREGADO</t>
  </si>
  <si>
    <t>CUSTO ANUAL (12 MESES)</t>
  </si>
  <si>
    <t>Submódulo 4.2 - Intervalo intrajornada</t>
  </si>
  <si>
    <t>Indenização pela supressão do intervalo intrajornada</t>
  </si>
  <si>
    <t>20% sobre hora diurna
[7 horas noturnas/12 horas trabalhadas x (salário base + periculosidade) x adicional noturno]</t>
  </si>
  <si>
    <t>Não aplicável</t>
  </si>
  <si>
    <t>Materiais coletivos</t>
  </si>
  <si>
    <t>5143-20</t>
  </si>
  <si>
    <t>PR000063/2026</t>
  </si>
  <si>
    <t>Cláusula 3ª, caput da CCT 2026/2028</t>
  </si>
  <si>
    <t>Salário base / 44 horas x 40 horas trabalhadas</t>
  </si>
  <si>
    <t>40% do salário mínimo</t>
  </si>
  <si>
    <t>Art. 192 da CLT c/c Súmula TST 448</t>
  </si>
  <si>
    <t>CCT Cláusula 3ª, item 02.01</t>
  </si>
  <si>
    <t>Acúmulo de função / 44 horas x 40 horas trabalhadas</t>
  </si>
  <si>
    <t>R$ 6,00 x 2 x 21 dias de trabalho</t>
  </si>
  <si>
    <t>R$ 30,00 x 30 dias</t>
  </si>
  <si>
    <t>Arts. 95, II do Decreto nº 10.854/2021, CCT Cláusula 13ª, § 1º</t>
  </si>
  <si>
    <t>CCT Cláusula 13ª, § 8º</t>
  </si>
  <si>
    <t>CCT Cláusula 16ª, § 1º</t>
  </si>
  <si>
    <t>CCT Cláusula 11ª</t>
  </si>
  <si>
    <t>Fonte: Caderno técnico limpeza 2019/PR</t>
  </si>
  <si>
    <t>CCT Cláusula 17ª, § 1º</t>
  </si>
  <si>
    <t>CCT Cláusula 23ª, caput</t>
  </si>
  <si>
    <t>Outros</t>
  </si>
  <si>
    <t>Probabilidade de ocorrência de API, segundo caderno técnico de limpeza 2019 para o PR</t>
  </si>
  <si>
    <t>Probabilidade de ocorrência de APT, segundo caderno técnico de limpeza 2019 para o PR</t>
  </si>
  <si>
    <t>Auxiliar de limpeza</t>
  </si>
  <si>
    <t>Custo diário x dias de reposição necessários no ano / 12 meses de contrato
(Módulo 1 + submódulo 2.1 + submódulo 2.3) x dias de reposição</t>
  </si>
  <si>
    <t>(a1 + a2 + a3 + a4) x Probabilidade de API nos contratos de limpeza no PR</t>
  </si>
  <si>
    <t>Substituto na cobertura de férias</t>
  </si>
  <si>
    <t>SERVIÇOS DE LIMPEZA E CONSERVAÇÃO</t>
  </si>
  <si>
    <t>Pagamento pelo Fato Gerador</t>
  </si>
  <si>
    <t>Controle para tratamento de riscos</t>
  </si>
  <si>
    <t>Valor mensal atribuído pela CCT (R$ 195,00) multiplicado por 6 (período máximo de concessão) e dividido por 12 meses de vigência contratual
Pagamento condicionado à política da empresa</t>
  </si>
  <si>
    <t>Submódulo 2.1 / 12 meses de contrato</t>
  </si>
  <si>
    <r>
      <t xml:space="preserve">NOTAS SUBMÓDULO 2.2:
</t>
    </r>
    <r>
      <rPr>
        <sz val="8"/>
        <rFont val="Arial"/>
        <family val="2"/>
      </rPr>
      <t>1 - Para definição do valor do SAT (Seguro de Acidente de Trabalho) foi considerada a alíquota máxima possível para o RAT, de 3%, a fim de prever a situação mais gravosa, adotando-se a pesquisa do CNAE 8121-4/00 no Decreto nº 10.410/2020, combinado com o FAP (Fator de Acidentes Previdenciários) igual a 2,0.</t>
    </r>
  </si>
  <si>
    <t>Auxílio alimentação x 20%</t>
  </si>
  <si>
    <r>
      <t xml:space="preserve">NOTAS MÓDULO 5:
</t>
    </r>
    <r>
      <rPr>
        <sz val="8"/>
        <rFont val="Arial"/>
        <family val="2"/>
      </rPr>
      <t>1 - Os custos com uniformes, materiais e equipamentos foram determinados mediante pesquisa de mercado, de acordo com os quantitativos e qualidades especificadas no Termo de Referência da contratação.</t>
    </r>
  </si>
  <si>
    <r>
      <t xml:space="preserve">NOTAS MÓDULO 6:
</t>
    </r>
    <r>
      <rPr>
        <sz val="8"/>
        <rFont val="Arial"/>
        <family val="2"/>
      </rPr>
      <t>1 - Os custos indiretos estimados, relacionados à estrutura administrativa, organizacional e de gestão da contratada, consideraram a recomendação do Tribunal de Contas da União exarada no Acórdão 1.753/2008 - Plenário, sendo de 5% para serviços de limpeza.
2 - O lucro estimado razoável, segundo orientações do Tribunal de Contas da União presentes no Acórdão 1.753/2008 - Plenário, é de 8,38%.
3 - O modelo de estimativa adotado na planilha considera a contribuição previdenciária sobre a folha de pagamento. Ainda que adotada a contribuição previdenciária sobre a receita bruta (CPRB) pela licitante, esta não poderá se beneficiar deste regime de contribuição tendo em vista o disposto na Lei nº 14.973/2024, que trata da reoneração da folha de pagamento pela descontinuidade gradual do regime de contribuição a partir da receita bruta, e a expectativa de vigência da presente contratação pelo prazo de até 10 (dez) anos.</t>
    </r>
  </si>
  <si>
    <t>Benefícios durante o período de aviso</t>
  </si>
  <si>
    <t>Remuneração mensal + 1/12 de 13º + 1/12 de férias e adicional de férias
(Módulo 1 + Submódulo 2.1)/12 meses de trabalho</t>
  </si>
  <si>
    <t>Benefícios mensais/12 meses de trabalho
Submódulo 2.3/12</t>
  </si>
  <si>
    <t>(b1 + b2) x Probabilidade de APT nos contratos de limpeza do PR</t>
  </si>
  <si>
    <t>Art. 7º, XXI, CF/88 c/c arts. 487, 488 e §§ CLT</t>
  </si>
  <si>
    <t>Substituto na cobertura de ausências legais</t>
  </si>
  <si>
    <r>
      <t xml:space="preserve">NOTAS SUBMÓDULO 4.1:
</t>
    </r>
    <r>
      <rPr>
        <sz val="8"/>
        <rFont val="Arial"/>
        <family val="2"/>
      </rPr>
      <t>1 - O cálculo do custo de substituto na cobertura de férias disposto no item A do Submódulo 4.1 considera a divisão das verbas constantes no Submódulo 2.1 por 12 meses de contrato. O custo mencionado é devido em todos os anos de contrato, a fim de lastrear o pagamento destas verbas ao funcionário em período de gozo de férias no ano seguinte. Este custo será suprimido no último ano de contrato, uma vez que o funcionário disponibilizado não gozará o período de férias durante o período do contrato, devendo ser indenizado, o que dispensa a necessidade de custeio de verbas com substituto.
2 - O número de dias de reposição necessários utilizados para fins de cálculo do custo de substituição do item B do Submódulo 4.1 considera os dados disponíveis no Caderno Técnico de Limpeza de 2019. A tabela com o resumo dos dados é disponibilizada em conjunto com as planilhas de composição de custos.</t>
    </r>
  </si>
  <si>
    <t>Permite alteração pelo proponente?</t>
  </si>
  <si>
    <t>Não</t>
  </si>
  <si>
    <t>Sim, apenas para aumentar</t>
  </si>
  <si>
    <t>Sim</t>
  </si>
  <si>
    <t>Sim, de acordo com RAT e FAP</t>
  </si>
  <si>
    <t>Sim, apenas para aumentar o custo</t>
  </si>
  <si>
    <t>Sim, apenas para reduzir a contribuição do empregado</t>
  </si>
  <si>
    <t>Sim, o proponente pode adequar a incidência de acordo a realidade da empresa</t>
  </si>
  <si>
    <t>Sim, é possível alterar a quantidade de dias estimados para o período de 12 meses. O custo unitário é calculado de acordo com a planilha</t>
  </si>
  <si>
    <t>Art. 4º da Lei Complementar Municipal nº 40/2001 e alterações c/c Lei Complementar nº 116/2003, anexo, item 17.05</t>
  </si>
  <si>
    <t>DIAS</t>
  </si>
  <si>
    <t>Regime de tributação para definição do custo inicial</t>
  </si>
  <si>
    <r>
      <t xml:space="preserve">NOTAS SUBMÓDULO 2.3:
</t>
    </r>
    <r>
      <rPr>
        <sz val="8"/>
        <rFont val="Arial"/>
        <family val="2"/>
      </rPr>
      <t xml:space="preserve">1 - Para cálculo do número de vale transportes a serem disponibilizados, foi considerada a média de 21 dias trabalhados por mês, considerando o período de recesso e dias-ponte em feriados a serem usufruídos. A quantidade não poderá ser alterada pelo proponente.
</t>
    </r>
    <r>
      <rPr>
        <b/>
        <sz val="8"/>
        <rFont val="Arial"/>
        <family val="2"/>
      </rPr>
      <t xml:space="preserve">
</t>
    </r>
    <r>
      <rPr>
        <sz val="8"/>
        <rFont val="Arial"/>
        <family val="2"/>
      </rPr>
      <t>2 - O benefício previsto no subitem 2.2.E não poderá ser reduzido ou excluído pela proponente, tendo em vista que o regime de pagamento ocorre pelo fato gerador e sua manutenção visa garantir a isonomia no julgamento de propostas. O seu pagamento, portanto, ocorrerá apenas em caso de comprovado fato que justifique o pagamento do benefício, não representando ônus ao proponente.
3 - O número de vales concedidos a título de auxílio alimentação/refeição considera a previsão do instrumento coletivo base para elaboração do orçamento, tendo em vista a definição de valor unitário a ser pago durante 30 dias (mês). O valor a ser custeado pelo empregado é de 20% até 01/02/2027, devendo ser utilizado para fins de cálculo pelas licitantes. Ficará resguardado o direito da futura contratada de repactuar os valores em caso de redução do custeio do empregado a partir de 01/02/2027.</t>
    </r>
  </si>
  <si>
    <r>
      <t xml:space="preserve">NOTAS MÓDULO 3:
</t>
    </r>
    <r>
      <rPr>
        <sz val="8"/>
        <rFont val="Arial"/>
        <family val="2"/>
      </rPr>
      <t>1 - A definição do custo de Aviso Prévio Indenizado e Trabalhado considera que 67,42% das demissões na área de limpeza ocorrem sem justa causa, segundo informações do Caderno Técnico de Limpeza 2019. Destes casos, 50% dos avisos são indenizados e 50% cumpridos na forma de trabalho. A proponente deve ajustar estas proporções de acordo com a sua realidade.
2 - O tempo adicional de Aviso Prévio previsto na Lei nº 12.506/2011 não é contemplado no custo inicial, tendo em vista que é aplicável apenas após completado 1 (um) ano de trabalho. Assim, a rubrica referente ao Aviso Prévio será redimensionada por ocasião da prorrogação do contrato em caso de ausência de demissão por iniciativa do empregador.
3 - Tendo em vista que no Aviso Prévio Trabalhado o empregado residente estará desempenhando suas funções normalmente durante o período, os valores relativos à remuneração, benefícios, 13º salário e férias já estão contemplados nos demais itens da planilha. Assim, o valor previsto no item b1 é destinado a cobrir os custos da proponente durante o período de dispensa de até 7 dias.</t>
    </r>
  </si>
  <si>
    <t>Sim, desde que atendido o quantitativo mínimo exigido</t>
  </si>
  <si>
    <t>CUSTO MENSAL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</si>
</sst>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R$&quot;#,##0.00;[Red]\-&quot;R$&quot;#,##0.00"/>
    <numFmt numFmtId="165" formatCode="0.000%"/>
    <numFmt numFmtId="166" formatCode="0.0"/>
    <numFmt numFmtId="167" formatCode="&quot;R$&quot;\ #,##0.00"/>
  </numFmts>
  <fonts count="15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indexed="10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b/>
      <sz val="12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ill="0" applyBorder="0" applyAlignment="0" applyProtection="0"/>
  </cellStyleXfs>
  <cellXfs count="154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vertic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vertical="center" wrapText="1"/>
    </xf>
    <xf numFmtId="10" fontId="6" fillId="0" borderId="1" xfId="1" applyNumberFormat="1" applyFont="1" applyBorder="1" applyAlignment="1">
      <alignment horizontal="center" vertical="center" wrapText="1"/>
    </xf>
    <xf numFmtId="10" fontId="6" fillId="0" borderId="1" xfId="1" applyNumberFormat="1" applyFont="1" applyFill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10" fontId="6" fillId="3" borderId="1" xfId="0" applyNumberFormat="1" applyFont="1" applyFill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right" vertical="center" wrapText="1"/>
    </xf>
    <xf numFmtId="9" fontId="6" fillId="0" borderId="1" xfId="1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wrapText="1"/>
    </xf>
    <xf numFmtId="2" fontId="9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166" fontId="9" fillId="0" borderId="1" xfId="0" applyNumberFormat="1" applyFont="1" applyBorder="1" applyAlignment="1">
      <alignment vertical="center" wrapText="1"/>
    </xf>
    <xf numFmtId="0" fontId="11" fillId="0" borderId="8" xfId="0" applyFont="1" applyBorder="1" applyAlignment="1">
      <alignment horizontal="center" vertical="center"/>
    </xf>
    <xf numFmtId="10" fontId="11" fillId="0" borderId="9" xfId="1" applyNumberFormat="1" applyFont="1" applyBorder="1" applyAlignment="1">
      <alignment vertical="center"/>
    </xf>
    <xf numFmtId="2" fontId="11" fillId="0" borderId="10" xfId="0" applyNumberFormat="1" applyFont="1" applyBorder="1" applyAlignment="1">
      <alignment vertical="center"/>
    </xf>
    <xf numFmtId="0" fontId="11" fillId="0" borderId="11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10" fontId="11" fillId="0" borderId="0" xfId="1" applyNumberFormat="1" applyFont="1" applyBorder="1" applyAlignment="1">
      <alignment vertical="center"/>
    </xf>
    <xf numFmtId="2" fontId="11" fillId="0" borderId="12" xfId="0" applyNumberFormat="1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11" fillId="0" borderId="3" xfId="0" applyFont="1" applyBorder="1" applyAlignment="1">
      <alignment horizontal="center" vertical="center"/>
    </xf>
    <xf numFmtId="10" fontId="11" fillId="0" borderId="4" xfId="1" applyNumberFormat="1" applyFont="1" applyBorder="1" applyAlignment="1">
      <alignment vertical="center"/>
    </xf>
    <xf numFmtId="2" fontId="11" fillId="0" borderId="5" xfId="0" applyNumberFormat="1" applyFont="1" applyBorder="1" applyAlignment="1">
      <alignment vertical="center"/>
    </xf>
    <xf numFmtId="0" fontId="8" fillId="6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2" fontId="5" fillId="4" borderId="1" xfId="0" applyNumberFormat="1" applyFont="1" applyFill="1" applyBorder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10" fontId="5" fillId="4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wrapText="1"/>
    </xf>
    <xf numFmtId="10" fontId="6" fillId="4" borderId="1" xfId="1" applyNumberFormat="1" applyFont="1" applyFill="1" applyBorder="1" applyAlignment="1">
      <alignment horizontal="center" vertical="center" wrapText="1"/>
    </xf>
    <xf numFmtId="10" fontId="5" fillId="5" borderId="1" xfId="0" applyNumberFormat="1" applyFont="1" applyFill="1" applyBorder="1" applyAlignment="1">
      <alignment horizontal="center" vertical="center" wrapText="1"/>
    </xf>
    <xf numFmtId="2" fontId="5" fillId="4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6" fillId="0" borderId="6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5" fillId="7" borderId="3" xfId="0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10" fontId="6" fillId="0" borderId="10" xfId="1" applyNumberFormat="1" applyFont="1" applyBorder="1" applyAlignment="1">
      <alignment vertical="center"/>
    </xf>
    <xf numFmtId="10" fontId="6" fillId="0" borderId="7" xfId="1" applyNumberFormat="1" applyFont="1" applyBorder="1" applyAlignment="1">
      <alignment vertical="center"/>
    </xf>
    <xf numFmtId="0" fontId="6" fillId="0" borderId="3" xfId="0" applyFont="1" applyBorder="1" applyAlignment="1">
      <alignment horizontal="left" vertical="center"/>
    </xf>
    <xf numFmtId="10" fontId="6" fillId="0" borderId="5" xfId="1" applyNumberFormat="1" applyFont="1" applyBorder="1" applyAlignment="1">
      <alignment vertical="center"/>
    </xf>
    <xf numFmtId="0" fontId="6" fillId="0" borderId="0" xfId="0" applyFont="1"/>
    <xf numFmtId="0" fontId="6" fillId="0" borderId="8" xfId="0" applyFont="1" applyBorder="1"/>
    <xf numFmtId="10" fontId="6" fillId="0" borderId="10" xfId="1" applyNumberFormat="1" applyFont="1" applyBorder="1"/>
    <xf numFmtId="0" fontId="6" fillId="0" borderId="6" xfId="0" applyFont="1" applyBorder="1"/>
    <xf numFmtId="10" fontId="6" fillId="0" borderId="7" xfId="1" applyNumberFormat="1" applyFont="1" applyBorder="1"/>
    <xf numFmtId="0" fontId="5" fillId="7" borderId="1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" fontId="5" fillId="4" borderId="1" xfId="0" applyNumberFormat="1" applyFont="1" applyFill="1" applyBorder="1" applyAlignment="1">
      <alignment horizontal="right" vertical="center" wrapText="1"/>
    </xf>
    <xf numFmtId="2" fontId="12" fillId="0" borderId="1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center" wrapText="1"/>
    </xf>
    <xf numFmtId="2" fontId="5" fillId="0" borderId="0" xfId="0" applyNumberFormat="1" applyFont="1" applyAlignment="1">
      <alignment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vertical="center" wrapText="1"/>
    </xf>
    <xf numFmtId="2" fontId="6" fillId="0" borderId="1" xfId="0" applyNumberFormat="1" applyFont="1" applyBorder="1" applyAlignment="1">
      <alignment horizontal="center" vertical="center"/>
    </xf>
    <xf numFmtId="165" fontId="5" fillId="0" borderId="0" xfId="0" applyNumberFormat="1" applyFont="1" applyAlignment="1">
      <alignment horizontal="center" vertical="center" wrapText="1"/>
    </xf>
    <xf numFmtId="10" fontId="5" fillId="0" borderId="0" xfId="0" applyNumberFormat="1" applyFont="1" applyAlignment="1">
      <alignment horizontal="center" vertical="center" wrapText="1"/>
    </xf>
    <xf numFmtId="10" fontId="6" fillId="0" borderId="0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2" fontId="5" fillId="4" borderId="17" xfId="0" applyNumberFormat="1" applyFont="1" applyFill="1" applyBorder="1" applyAlignment="1">
      <alignment vertical="center" wrapText="1"/>
    </xf>
    <xf numFmtId="0" fontId="9" fillId="4" borderId="17" xfId="0" applyFont="1" applyFill="1" applyBorder="1" applyAlignment="1">
      <alignment vertical="center" wrapText="1"/>
    </xf>
    <xf numFmtId="0" fontId="0" fillId="4" borderId="1" xfId="0" applyFill="1" applyBorder="1" applyAlignment="1">
      <alignment wrapText="1"/>
    </xf>
    <xf numFmtId="0" fontId="14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wrapText="1"/>
    </xf>
    <xf numFmtId="0" fontId="6" fillId="4" borderId="1" xfId="0" applyFont="1" applyFill="1" applyBorder="1"/>
    <xf numFmtId="0" fontId="5" fillId="4" borderId="6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8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5" fillId="4" borderId="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6" fillId="0" borderId="1" xfId="0" applyFont="1" applyBorder="1" applyAlignment="1">
      <alignment vertical="center" wrapText="1"/>
    </xf>
    <xf numFmtId="0" fontId="5" fillId="4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  <xf numFmtId="0" fontId="2" fillId="2" borderId="14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8" fillId="5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4" borderId="17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5" fillId="4" borderId="17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9" fillId="0" borderId="1" xfId="0" applyNumberFormat="1" applyFont="1" applyBorder="1" applyAlignment="1">
      <alignment vertical="center" wrapText="1"/>
    </xf>
    <xf numFmtId="2" fontId="9" fillId="0" borderId="1" xfId="0" applyNumberFormat="1" applyFont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4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1" fillId="0" borderId="4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67" fontId="6" fillId="0" borderId="1" xfId="0" applyNumberFormat="1" applyFont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2" fillId="7" borderId="1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/>
    </xf>
    <xf numFmtId="0" fontId="5" fillId="7" borderId="10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Porcentagem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  <pageSetUpPr fitToPage="1"/>
  </sheetPr>
  <dimension ref="A1:N150"/>
  <sheetViews>
    <sheetView tabSelected="1" zoomScale="130" zoomScaleNormal="130" workbookViewId="0">
      <selection activeCell="B81" sqref="B81:G81"/>
    </sheetView>
  </sheetViews>
  <sheetFormatPr defaultRowHeight="12.75" x14ac:dyDescent="0.2"/>
  <cols>
    <col min="1" max="1" width="3.85546875" style="4" customWidth="1"/>
    <col min="2" max="2" width="9.5703125" customWidth="1"/>
    <col min="3" max="4" width="4.5703125" customWidth="1"/>
    <col min="5" max="5" width="4.85546875" customWidth="1"/>
    <col min="6" max="6" width="4.140625" customWidth="1"/>
    <col min="7" max="7" width="4" customWidth="1"/>
    <col min="8" max="8" width="11.7109375" style="4" customWidth="1"/>
    <col min="9" max="9" width="12.85546875" style="4" customWidth="1"/>
    <col min="10" max="10" width="27.140625" customWidth="1"/>
    <col min="11" max="11" width="7.140625" style="4" customWidth="1"/>
    <col min="12" max="12" width="3.5703125" style="4" customWidth="1"/>
    <col min="13" max="13" width="15.5703125" style="4" customWidth="1"/>
    <col min="14" max="14" width="20.28515625" customWidth="1"/>
  </cols>
  <sheetData>
    <row r="1" spans="1:14" ht="15.75" x14ac:dyDescent="0.2">
      <c r="A1" s="91" t="s">
        <v>141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</row>
    <row r="3" spans="1:14" x14ac:dyDescent="0.2">
      <c r="A3" s="144" t="s">
        <v>238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</row>
    <row r="4" spans="1:14" x14ac:dyDescent="0.2">
      <c r="A4" s="148" t="s">
        <v>142</v>
      </c>
      <c r="B4" s="148"/>
      <c r="C4" s="148"/>
      <c r="D4" s="148"/>
      <c r="E4" s="148"/>
      <c r="F4" s="148"/>
      <c r="G4" s="148"/>
      <c r="H4" s="148"/>
      <c r="I4" s="148"/>
      <c r="J4" s="148"/>
      <c r="K4" s="145" t="s">
        <v>151</v>
      </c>
      <c r="L4" s="145"/>
      <c r="M4" s="145"/>
    </row>
    <row r="5" spans="1:14" x14ac:dyDescent="0.2">
      <c r="A5" s="149" t="s">
        <v>143</v>
      </c>
      <c r="B5" s="149"/>
      <c r="C5" s="149"/>
      <c r="D5" s="149"/>
      <c r="E5" s="149"/>
      <c r="F5" s="149"/>
      <c r="G5" s="149"/>
      <c r="H5" s="149"/>
      <c r="I5" s="149"/>
      <c r="J5" s="149"/>
      <c r="K5" s="145">
        <v>2</v>
      </c>
      <c r="L5" s="145"/>
      <c r="M5" s="145"/>
    </row>
    <row r="6" spans="1:14" x14ac:dyDescent="0.2">
      <c r="A6" s="149" t="s">
        <v>144</v>
      </c>
      <c r="B6" s="149"/>
      <c r="C6" s="149"/>
      <c r="D6" s="149"/>
      <c r="E6" s="149"/>
      <c r="F6" s="149"/>
      <c r="G6" s="149"/>
      <c r="H6" s="149"/>
      <c r="I6" s="149"/>
      <c r="J6" s="149"/>
      <c r="K6" s="145">
        <v>1</v>
      </c>
      <c r="L6" s="145"/>
      <c r="M6" s="145"/>
    </row>
    <row r="7" spans="1:14" x14ac:dyDescent="0.2">
      <c r="A7" s="149" t="s">
        <v>145</v>
      </c>
      <c r="B7" s="149"/>
      <c r="C7" s="149"/>
      <c r="D7" s="149"/>
      <c r="E7" s="149"/>
      <c r="F7" s="149"/>
      <c r="G7" s="149"/>
      <c r="H7" s="149"/>
      <c r="I7" s="149"/>
      <c r="J7" s="149"/>
      <c r="K7" s="145">
        <v>12</v>
      </c>
      <c r="L7" s="145"/>
      <c r="M7" s="145"/>
    </row>
    <row r="8" spans="1:14" x14ac:dyDescent="0.2">
      <c r="A8" s="149" t="s">
        <v>146</v>
      </c>
      <c r="B8" s="149"/>
      <c r="C8" s="149"/>
      <c r="D8" s="149"/>
      <c r="E8" s="149"/>
      <c r="F8" s="149"/>
      <c r="G8" s="149"/>
      <c r="H8" s="149"/>
      <c r="I8" s="149"/>
      <c r="J8" s="149"/>
      <c r="K8" s="145">
        <v>1727.27</v>
      </c>
      <c r="L8" s="145"/>
      <c r="M8" s="145"/>
    </row>
    <row r="9" spans="1:14" x14ac:dyDescent="0.2">
      <c r="A9" s="149" t="s">
        <v>147</v>
      </c>
      <c r="B9" s="149"/>
      <c r="C9" s="149"/>
      <c r="D9" s="149"/>
      <c r="E9" s="149"/>
      <c r="F9" s="149"/>
      <c r="G9" s="149"/>
      <c r="H9" s="149"/>
      <c r="I9" s="149"/>
      <c r="J9" s="149"/>
      <c r="K9" s="145" t="s">
        <v>214</v>
      </c>
      <c r="L9" s="145"/>
      <c r="M9" s="145"/>
    </row>
    <row r="10" spans="1:14" x14ac:dyDescent="0.2">
      <c r="A10" s="149" t="s">
        <v>148</v>
      </c>
      <c r="B10" s="149"/>
      <c r="C10" s="149"/>
      <c r="D10" s="149"/>
      <c r="E10" s="149"/>
      <c r="F10" s="149"/>
      <c r="G10" s="149"/>
      <c r="H10" s="149"/>
      <c r="I10" s="149"/>
      <c r="J10" s="149"/>
      <c r="K10" s="101">
        <v>2026</v>
      </c>
      <c r="L10" s="101"/>
      <c r="M10" s="101"/>
    </row>
    <row r="11" spans="1:14" ht="17.25" customHeight="1" x14ac:dyDescent="0.2">
      <c r="A11" s="94" t="s">
        <v>168</v>
      </c>
      <c r="B11" s="94"/>
      <c r="C11" s="94"/>
      <c r="D11" s="94"/>
      <c r="E11" s="94"/>
      <c r="F11" s="94"/>
      <c r="G11" s="94"/>
      <c r="H11" s="94"/>
      <c r="I11" s="94"/>
      <c r="J11" s="94"/>
      <c r="K11" s="101" t="s">
        <v>215</v>
      </c>
      <c r="L11" s="101"/>
      <c r="M11" s="101"/>
    </row>
    <row r="12" spans="1:14" x14ac:dyDescent="0.2">
      <c r="A12" s="149" t="s">
        <v>149</v>
      </c>
      <c r="B12" s="149"/>
      <c r="C12" s="149"/>
      <c r="D12" s="149"/>
      <c r="E12" s="149"/>
      <c r="F12" s="149"/>
      <c r="G12" s="149"/>
      <c r="H12" s="149"/>
      <c r="I12" s="149"/>
      <c r="J12" s="149"/>
      <c r="K12" s="146" t="s">
        <v>171</v>
      </c>
      <c r="L12" s="146"/>
      <c r="M12" s="146"/>
    </row>
    <row r="13" spans="1:14" x14ac:dyDescent="0.2">
      <c r="A13" s="149" t="s">
        <v>123</v>
      </c>
      <c r="B13" s="149"/>
      <c r="C13" s="149"/>
      <c r="D13" s="149"/>
      <c r="E13" s="149"/>
      <c r="F13" s="149"/>
      <c r="G13" s="149"/>
      <c r="H13" s="149"/>
      <c r="I13" s="149"/>
      <c r="J13" s="149"/>
      <c r="K13" s="145" t="s">
        <v>124</v>
      </c>
      <c r="L13" s="145"/>
      <c r="M13" s="145"/>
    </row>
    <row r="14" spans="1:14" x14ac:dyDescent="0.2">
      <c r="A14" s="149" t="s">
        <v>150</v>
      </c>
      <c r="B14" s="149"/>
      <c r="C14" s="149"/>
      <c r="D14" s="149"/>
      <c r="E14" s="149"/>
      <c r="F14" s="149"/>
      <c r="G14" s="149"/>
      <c r="H14" s="149"/>
      <c r="I14" s="149"/>
      <c r="J14" s="149"/>
      <c r="K14" s="147">
        <v>1621</v>
      </c>
      <c r="L14" s="147"/>
      <c r="M14" s="147"/>
    </row>
    <row r="15" spans="1:14" x14ac:dyDescent="0.2">
      <c r="A15" s="149" t="s">
        <v>265</v>
      </c>
      <c r="B15" s="149"/>
      <c r="C15" s="149"/>
      <c r="D15" s="149"/>
      <c r="E15" s="149"/>
      <c r="F15" s="149"/>
      <c r="G15" s="149"/>
      <c r="H15" s="149"/>
      <c r="I15" s="149"/>
      <c r="J15" s="149"/>
      <c r="K15" s="145" t="s">
        <v>140</v>
      </c>
      <c r="L15" s="145"/>
      <c r="M15" s="145"/>
    </row>
    <row r="16" spans="1:14" x14ac:dyDescent="0.2">
      <c r="A16" s="94" t="s">
        <v>152</v>
      </c>
      <c r="B16" s="94"/>
      <c r="C16" s="94"/>
      <c r="D16" s="94"/>
      <c r="E16" s="94"/>
      <c r="F16" s="94"/>
      <c r="G16" s="94"/>
      <c r="H16" s="94"/>
      <c r="I16" s="94"/>
      <c r="J16" s="94"/>
      <c r="K16" s="145" t="s">
        <v>153</v>
      </c>
      <c r="L16" s="145"/>
      <c r="M16" s="145"/>
    </row>
    <row r="17" spans="1:14" x14ac:dyDescent="0.2">
      <c r="A17" s="94" t="s">
        <v>240</v>
      </c>
      <c r="B17" s="94"/>
      <c r="C17" s="94"/>
      <c r="D17" s="94"/>
      <c r="E17" s="94"/>
      <c r="F17" s="94"/>
      <c r="G17" s="94"/>
      <c r="H17" s="94"/>
      <c r="I17" s="94"/>
      <c r="J17" s="94"/>
      <c r="K17" s="95" t="s">
        <v>239</v>
      </c>
      <c r="L17" s="95"/>
      <c r="M17" s="95"/>
    </row>
    <row r="18" spans="1:14" x14ac:dyDescent="0.2">
      <c r="A18" s="113"/>
      <c r="B18" s="113"/>
      <c r="C18" s="113"/>
      <c r="D18" s="113"/>
      <c r="E18" s="113"/>
      <c r="F18" s="113"/>
      <c r="G18" s="113"/>
      <c r="H18" s="113"/>
      <c r="I18" s="113"/>
    </row>
    <row r="19" spans="1:14" ht="14.25" customHeight="1" x14ac:dyDescent="0.2">
      <c r="A19" s="92" t="s">
        <v>24</v>
      </c>
      <c r="B19" s="92"/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</row>
    <row r="20" spans="1:14" ht="24" x14ac:dyDescent="0.2">
      <c r="A20" s="40">
        <v>1</v>
      </c>
      <c r="B20" s="97" t="s">
        <v>14</v>
      </c>
      <c r="C20" s="97"/>
      <c r="D20" s="97"/>
      <c r="E20" s="97"/>
      <c r="F20" s="97"/>
      <c r="G20" s="97"/>
      <c r="H20" s="40" t="s">
        <v>3</v>
      </c>
      <c r="I20" s="40" t="s">
        <v>1</v>
      </c>
      <c r="J20" s="38" t="s">
        <v>125</v>
      </c>
      <c r="K20" s="114" t="s">
        <v>136</v>
      </c>
      <c r="L20" s="114"/>
      <c r="M20" s="114"/>
      <c r="N20" s="40" t="s">
        <v>254</v>
      </c>
    </row>
    <row r="21" spans="1:14" ht="35.25" customHeight="1" x14ac:dyDescent="0.2">
      <c r="A21" s="9" t="s">
        <v>6</v>
      </c>
      <c r="B21" s="96" t="s">
        <v>25</v>
      </c>
      <c r="C21" s="96"/>
      <c r="D21" s="96"/>
      <c r="E21" s="96"/>
      <c r="F21" s="96"/>
      <c r="G21" s="96"/>
      <c r="H21" s="8"/>
      <c r="I21" s="10">
        <f>K8</f>
        <v>1727.27</v>
      </c>
      <c r="J21" s="22" t="s">
        <v>216</v>
      </c>
      <c r="K21" s="115" t="s">
        <v>217</v>
      </c>
      <c r="L21" s="115"/>
      <c r="M21" s="115"/>
      <c r="N21" s="16" t="s">
        <v>256</v>
      </c>
    </row>
    <row r="22" spans="1:14" ht="36.75" customHeight="1" x14ac:dyDescent="0.2">
      <c r="A22" s="9" t="s">
        <v>7</v>
      </c>
      <c r="B22" s="96" t="s">
        <v>36</v>
      </c>
      <c r="C22" s="96"/>
      <c r="D22" s="96"/>
      <c r="E22" s="96"/>
      <c r="F22" s="96"/>
      <c r="G22" s="96"/>
      <c r="H22" s="11">
        <v>0</v>
      </c>
      <c r="I22" s="10">
        <f>I21*H22</f>
        <v>0</v>
      </c>
      <c r="J22" s="22"/>
      <c r="K22" s="115" t="s">
        <v>126</v>
      </c>
      <c r="L22" s="115"/>
      <c r="M22" s="115"/>
      <c r="N22" s="16" t="s">
        <v>255</v>
      </c>
    </row>
    <row r="23" spans="1:14" ht="25.5" customHeight="1" x14ac:dyDescent="0.2">
      <c r="A23" s="9" t="s">
        <v>8</v>
      </c>
      <c r="B23" s="96" t="s">
        <v>37</v>
      </c>
      <c r="C23" s="96"/>
      <c r="D23" s="96"/>
      <c r="E23" s="96"/>
      <c r="F23" s="96"/>
      <c r="G23" s="96"/>
      <c r="H23" s="11">
        <v>0.4</v>
      </c>
      <c r="I23" s="10">
        <f>H23*K14</f>
        <v>648.40000000000009</v>
      </c>
      <c r="J23" s="22" t="s">
        <v>219</v>
      </c>
      <c r="K23" s="115" t="s">
        <v>218</v>
      </c>
      <c r="L23" s="115"/>
      <c r="M23" s="115"/>
      <c r="N23" s="16" t="s">
        <v>255</v>
      </c>
    </row>
    <row r="24" spans="1:14" ht="63" customHeight="1" x14ac:dyDescent="0.2">
      <c r="A24" s="9" t="s">
        <v>9</v>
      </c>
      <c r="B24" s="96" t="s">
        <v>2</v>
      </c>
      <c r="C24" s="96"/>
      <c r="D24" s="96"/>
      <c r="E24" s="96"/>
      <c r="F24" s="96"/>
      <c r="G24" s="96"/>
      <c r="H24" s="11"/>
      <c r="I24" s="10">
        <f>7/12*(I21+I22)*H24</f>
        <v>0</v>
      </c>
      <c r="J24" s="22" t="s">
        <v>172</v>
      </c>
      <c r="K24" s="115" t="s">
        <v>211</v>
      </c>
      <c r="L24" s="115"/>
      <c r="M24" s="115"/>
      <c r="N24" s="16" t="s">
        <v>255</v>
      </c>
    </row>
    <row r="25" spans="1:14" ht="38.25" customHeight="1" x14ac:dyDescent="0.2">
      <c r="A25" s="9" t="s">
        <v>10</v>
      </c>
      <c r="B25" s="96" t="s">
        <v>38</v>
      </c>
      <c r="C25" s="96"/>
      <c r="D25" s="96"/>
      <c r="E25" s="96"/>
      <c r="F25" s="96"/>
      <c r="G25" s="96"/>
      <c r="H25" s="12"/>
      <c r="I25" s="10"/>
      <c r="J25" s="22"/>
      <c r="K25" s="115" t="s">
        <v>212</v>
      </c>
      <c r="L25" s="115"/>
      <c r="M25" s="115"/>
      <c r="N25" s="16" t="s">
        <v>255</v>
      </c>
    </row>
    <row r="26" spans="1:14" ht="26.25" customHeight="1" x14ac:dyDescent="0.2">
      <c r="A26" s="9" t="s">
        <v>11</v>
      </c>
      <c r="B26" s="96" t="s">
        <v>82</v>
      </c>
      <c r="C26" s="96"/>
      <c r="D26" s="96"/>
      <c r="E26" s="96"/>
      <c r="F26" s="96"/>
      <c r="G26" s="96"/>
      <c r="H26" s="11"/>
      <c r="I26" s="10">
        <f>ROUND(131/44*40,2)</f>
        <v>119.09</v>
      </c>
      <c r="J26" s="22" t="s">
        <v>220</v>
      </c>
      <c r="K26" s="115" t="s">
        <v>221</v>
      </c>
      <c r="L26" s="115"/>
      <c r="M26" s="115"/>
      <c r="N26" s="16" t="s">
        <v>256</v>
      </c>
    </row>
    <row r="27" spans="1:14" x14ac:dyDescent="0.2">
      <c r="A27" s="121" t="s">
        <v>62</v>
      </c>
      <c r="B27" s="121"/>
      <c r="C27" s="121"/>
      <c r="D27" s="121"/>
      <c r="E27" s="121"/>
      <c r="F27" s="121"/>
      <c r="G27" s="121"/>
      <c r="H27" s="121"/>
      <c r="I27" s="80">
        <f>ROUND(SUM(I21:I26),2)</f>
        <v>2494.7600000000002</v>
      </c>
      <c r="J27" s="81"/>
      <c r="K27" s="116"/>
      <c r="L27" s="116"/>
      <c r="M27" s="116"/>
      <c r="N27" s="81"/>
    </row>
    <row r="28" spans="1:14" x14ac:dyDescent="0.2">
      <c r="A28" s="6"/>
      <c r="B28" s="1"/>
      <c r="C28" s="1"/>
      <c r="D28" s="1"/>
      <c r="E28" s="1"/>
      <c r="F28" s="1"/>
      <c r="G28" s="1"/>
      <c r="H28" s="6"/>
      <c r="I28" s="7"/>
      <c r="J28" s="3"/>
      <c r="K28" s="117"/>
      <c r="L28" s="117"/>
      <c r="M28" s="117"/>
    </row>
    <row r="29" spans="1:14" ht="21" customHeight="1" x14ac:dyDescent="0.2">
      <c r="A29" s="92" t="s">
        <v>39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</row>
    <row r="30" spans="1:14" ht="24" customHeight="1" x14ac:dyDescent="0.2">
      <c r="A30" s="97" t="s">
        <v>51</v>
      </c>
      <c r="B30" s="97"/>
      <c r="C30" s="97"/>
      <c r="D30" s="97"/>
      <c r="E30" s="97"/>
      <c r="F30" s="97"/>
      <c r="G30" s="97"/>
      <c r="H30" s="40" t="s">
        <v>3</v>
      </c>
      <c r="I30" s="40" t="s">
        <v>1</v>
      </c>
      <c r="J30" s="38" t="s">
        <v>125</v>
      </c>
      <c r="K30" s="114" t="s">
        <v>136</v>
      </c>
      <c r="L30" s="114"/>
      <c r="M30" s="114"/>
      <c r="N30" s="40" t="s">
        <v>254</v>
      </c>
    </row>
    <row r="31" spans="1:14" x14ac:dyDescent="0.2">
      <c r="A31" s="9" t="s">
        <v>6</v>
      </c>
      <c r="B31" s="96" t="s">
        <v>135</v>
      </c>
      <c r="C31" s="96"/>
      <c r="D31" s="96"/>
      <c r="E31" s="96"/>
      <c r="F31" s="96"/>
      <c r="G31" s="96"/>
      <c r="H31" s="13">
        <f>1/12</f>
        <v>8.3333333333333329E-2</v>
      </c>
      <c r="I31" s="10">
        <f>ROUND($I$27*H31,2)</f>
        <v>207.9</v>
      </c>
      <c r="J31" s="22" t="s">
        <v>127</v>
      </c>
      <c r="K31" s="115" t="s">
        <v>133</v>
      </c>
      <c r="L31" s="115"/>
      <c r="M31" s="115"/>
      <c r="N31" s="85" t="s">
        <v>255</v>
      </c>
    </row>
    <row r="32" spans="1:14" x14ac:dyDescent="0.2">
      <c r="A32" s="9" t="s">
        <v>7</v>
      </c>
      <c r="B32" s="96" t="s">
        <v>106</v>
      </c>
      <c r="C32" s="96"/>
      <c r="D32" s="96"/>
      <c r="E32" s="96"/>
      <c r="F32" s="96"/>
      <c r="G32" s="96"/>
      <c r="H32" s="14">
        <f>1/12</f>
        <v>8.3333333333333329E-2</v>
      </c>
      <c r="I32" s="10">
        <f>ROUND(H32*I27,2)</f>
        <v>207.9</v>
      </c>
      <c r="J32" s="22" t="s">
        <v>128</v>
      </c>
      <c r="K32" s="115" t="s">
        <v>133</v>
      </c>
      <c r="L32" s="115"/>
      <c r="M32" s="115"/>
      <c r="N32" s="85" t="s">
        <v>255</v>
      </c>
    </row>
    <row r="33" spans="1:14" x14ac:dyDescent="0.2">
      <c r="A33" s="9" t="s">
        <v>8</v>
      </c>
      <c r="B33" s="96" t="s">
        <v>107</v>
      </c>
      <c r="C33" s="96"/>
      <c r="D33" s="96"/>
      <c r="E33" s="96"/>
      <c r="F33" s="96"/>
      <c r="G33" s="96"/>
      <c r="H33" s="14">
        <f>1/12*1/3</f>
        <v>2.7777777777777776E-2</v>
      </c>
      <c r="I33" s="10">
        <f>ROUND(H33*I27,2)</f>
        <v>69.3</v>
      </c>
      <c r="J33" s="22" t="s">
        <v>128</v>
      </c>
      <c r="K33" s="115" t="s">
        <v>134</v>
      </c>
      <c r="L33" s="115"/>
      <c r="M33" s="115"/>
      <c r="N33" s="85" t="s">
        <v>255</v>
      </c>
    </row>
    <row r="34" spans="1:14" x14ac:dyDescent="0.2">
      <c r="A34" s="105" t="s">
        <v>41</v>
      </c>
      <c r="B34" s="105"/>
      <c r="C34" s="105"/>
      <c r="D34" s="105"/>
      <c r="E34" s="105"/>
      <c r="F34" s="105"/>
      <c r="G34" s="105"/>
      <c r="H34" s="44">
        <f>ROUND(SUM(H31:H33),4)</f>
        <v>0.19439999999999999</v>
      </c>
      <c r="I34" s="42">
        <f>ROUND(SUM(I31:I33),2)</f>
        <v>485.1</v>
      </c>
      <c r="J34" s="45"/>
      <c r="K34" s="118"/>
      <c r="L34" s="118"/>
      <c r="M34" s="118"/>
      <c r="N34" s="45"/>
    </row>
    <row r="35" spans="1:14" x14ac:dyDescent="0.2">
      <c r="A35" s="119"/>
      <c r="B35" s="120"/>
      <c r="C35" s="120"/>
      <c r="D35" s="120"/>
      <c r="E35" s="120"/>
      <c r="F35" s="120"/>
      <c r="G35" s="120"/>
      <c r="H35" s="120"/>
      <c r="I35" s="120"/>
      <c r="J35" s="3"/>
      <c r="K35" s="117"/>
      <c r="L35" s="117"/>
      <c r="M35" s="117"/>
    </row>
    <row r="36" spans="1:14" ht="24.75" customHeight="1" x14ac:dyDescent="0.2">
      <c r="A36" s="97" t="s">
        <v>52</v>
      </c>
      <c r="B36" s="97"/>
      <c r="C36" s="97"/>
      <c r="D36" s="97"/>
      <c r="E36" s="97"/>
      <c r="F36" s="97"/>
      <c r="G36" s="97"/>
      <c r="H36" s="40" t="s">
        <v>3</v>
      </c>
      <c r="I36" s="40" t="s">
        <v>1</v>
      </c>
      <c r="J36" s="38" t="s">
        <v>125</v>
      </c>
      <c r="K36" s="114" t="s">
        <v>136</v>
      </c>
      <c r="L36" s="114"/>
      <c r="M36" s="114"/>
      <c r="N36" s="40" t="s">
        <v>254</v>
      </c>
    </row>
    <row r="37" spans="1:14" ht="23.25" customHeight="1" x14ac:dyDescent="0.2">
      <c r="A37" s="9" t="s">
        <v>6</v>
      </c>
      <c r="B37" s="108" t="s">
        <v>43</v>
      </c>
      <c r="C37" s="108"/>
      <c r="D37" s="108"/>
      <c r="E37" s="108"/>
      <c r="F37" s="108"/>
      <c r="G37" s="108"/>
      <c r="H37" s="13">
        <v>0.2</v>
      </c>
      <c r="I37" s="10">
        <f>ROUND(H37*($I$27+$I$34),2)</f>
        <v>595.97</v>
      </c>
      <c r="J37" s="22" t="s">
        <v>99</v>
      </c>
      <c r="K37" s="115" t="s">
        <v>154</v>
      </c>
      <c r="L37" s="115"/>
      <c r="M37" s="115"/>
      <c r="N37" s="85" t="s">
        <v>255</v>
      </c>
    </row>
    <row r="38" spans="1:14" ht="24" x14ac:dyDescent="0.2">
      <c r="A38" s="9" t="s">
        <v>7</v>
      </c>
      <c r="B38" s="108" t="s">
        <v>44</v>
      </c>
      <c r="C38" s="108"/>
      <c r="D38" s="108"/>
      <c r="E38" s="108"/>
      <c r="F38" s="108"/>
      <c r="G38" s="108"/>
      <c r="H38" s="13">
        <v>2.5000000000000001E-2</v>
      </c>
      <c r="I38" s="10">
        <f t="shared" ref="I38" si="0">ROUND(H38*($I$27+$I$34),2)</f>
        <v>74.5</v>
      </c>
      <c r="J38" s="25" t="s">
        <v>105</v>
      </c>
      <c r="K38" s="115" t="s">
        <v>155</v>
      </c>
      <c r="L38" s="115"/>
      <c r="M38" s="115"/>
      <c r="N38" s="85" t="s">
        <v>255</v>
      </c>
    </row>
    <row r="39" spans="1:14" ht="25.5" customHeight="1" x14ac:dyDescent="0.2">
      <c r="A39" s="9" t="s">
        <v>8</v>
      </c>
      <c r="B39" s="108" t="s">
        <v>45</v>
      </c>
      <c r="C39" s="108"/>
      <c r="D39" s="108"/>
      <c r="E39" s="108"/>
      <c r="F39" s="108"/>
      <c r="G39" s="108"/>
      <c r="H39" s="15">
        <f>3%*L39</f>
        <v>0.06</v>
      </c>
      <c r="I39" s="10">
        <f t="shared" ref="I39:I43" si="1">ROUND(H39*($I$27+$I$34),2)</f>
        <v>178.79</v>
      </c>
      <c r="J39" s="22" t="s">
        <v>137</v>
      </c>
      <c r="K39" s="22" t="s">
        <v>96</v>
      </c>
      <c r="L39" s="26">
        <v>2</v>
      </c>
      <c r="M39" s="22"/>
      <c r="N39" s="16" t="s">
        <v>258</v>
      </c>
    </row>
    <row r="40" spans="1:14" ht="23.25" customHeight="1" x14ac:dyDescent="0.2">
      <c r="A40" s="9" t="s">
        <v>9</v>
      </c>
      <c r="B40" s="108" t="s">
        <v>42</v>
      </c>
      <c r="C40" s="108"/>
      <c r="D40" s="108"/>
      <c r="E40" s="108"/>
      <c r="F40" s="108"/>
      <c r="G40" s="108"/>
      <c r="H40" s="13">
        <v>1.4999999999999999E-2</v>
      </c>
      <c r="I40" s="10">
        <f t="shared" si="1"/>
        <v>44.7</v>
      </c>
      <c r="J40" s="22" t="s">
        <v>101</v>
      </c>
      <c r="K40" s="115" t="s">
        <v>156</v>
      </c>
      <c r="L40" s="115"/>
      <c r="M40" s="115"/>
      <c r="N40" s="85" t="s">
        <v>255</v>
      </c>
    </row>
    <row r="41" spans="1:14" ht="36" x14ac:dyDescent="0.2">
      <c r="A41" s="9" t="s">
        <v>10</v>
      </c>
      <c r="B41" s="108" t="s">
        <v>46</v>
      </c>
      <c r="C41" s="108"/>
      <c r="D41" s="108"/>
      <c r="E41" s="108"/>
      <c r="F41" s="108"/>
      <c r="G41" s="108"/>
      <c r="H41" s="13">
        <v>0.01</v>
      </c>
      <c r="I41" s="10">
        <f t="shared" si="1"/>
        <v>29.8</v>
      </c>
      <c r="J41" s="22" t="s">
        <v>102</v>
      </c>
      <c r="K41" s="115" t="s">
        <v>157</v>
      </c>
      <c r="L41" s="115"/>
      <c r="M41" s="115"/>
      <c r="N41" s="85" t="s">
        <v>255</v>
      </c>
    </row>
    <row r="42" spans="1:14" ht="24" customHeight="1" x14ac:dyDescent="0.2">
      <c r="A42" s="9" t="s">
        <v>11</v>
      </c>
      <c r="B42" s="108" t="s">
        <v>47</v>
      </c>
      <c r="C42" s="108"/>
      <c r="D42" s="108"/>
      <c r="E42" s="108"/>
      <c r="F42" s="108"/>
      <c r="G42" s="108"/>
      <c r="H42" s="13">
        <v>6.0000000000000001E-3</v>
      </c>
      <c r="I42" s="10">
        <f t="shared" si="1"/>
        <v>17.88</v>
      </c>
      <c r="J42" s="22" t="s">
        <v>104</v>
      </c>
      <c r="K42" s="115" t="s">
        <v>158</v>
      </c>
      <c r="L42" s="115"/>
      <c r="M42" s="115"/>
      <c r="N42" s="85" t="s">
        <v>255</v>
      </c>
    </row>
    <row r="43" spans="1:14" ht="24" x14ac:dyDescent="0.2">
      <c r="A43" s="9" t="s">
        <v>12</v>
      </c>
      <c r="B43" s="108" t="s">
        <v>48</v>
      </c>
      <c r="C43" s="108"/>
      <c r="D43" s="108"/>
      <c r="E43" s="108"/>
      <c r="F43" s="108"/>
      <c r="G43" s="108"/>
      <c r="H43" s="13">
        <v>2E-3</v>
      </c>
      <c r="I43" s="10">
        <f t="shared" si="1"/>
        <v>5.96</v>
      </c>
      <c r="J43" s="22" t="s">
        <v>103</v>
      </c>
      <c r="K43" s="115" t="s">
        <v>159</v>
      </c>
      <c r="L43" s="115"/>
      <c r="M43" s="115"/>
      <c r="N43" s="85" t="s">
        <v>255</v>
      </c>
    </row>
    <row r="44" spans="1:14" ht="22.5" customHeight="1" x14ac:dyDescent="0.2">
      <c r="A44" s="9" t="s">
        <v>13</v>
      </c>
      <c r="B44" s="108" t="s">
        <v>49</v>
      </c>
      <c r="C44" s="108"/>
      <c r="D44" s="108"/>
      <c r="E44" s="108"/>
      <c r="F44" s="108"/>
      <c r="G44" s="108"/>
      <c r="H44" s="13">
        <v>0.08</v>
      </c>
      <c r="I44" s="10">
        <f>ROUND(H44*($I$27+$I$34),2)</f>
        <v>238.39</v>
      </c>
      <c r="J44" s="22" t="s">
        <v>100</v>
      </c>
      <c r="K44" s="115" t="s">
        <v>160</v>
      </c>
      <c r="L44" s="115"/>
      <c r="M44" s="115"/>
      <c r="N44" s="85" t="s">
        <v>255</v>
      </c>
    </row>
    <row r="45" spans="1:14" x14ac:dyDescent="0.2">
      <c r="A45" s="105" t="s">
        <v>50</v>
      </c>
      <c r="B45" s="105"/>
      <c r="C45" s="105"/>
      <c r="D45" s="105"/>
      <c r="E45" s="105"/>
      <c r="F45" s="105"/>
      <c r="G45" s="105"/>
      <c r="H45" s="44">
        <f>SUM(H37:H44)</f>
        <v>0.39800000000000008</v>
      </c>
      <c r="I45" s="42">
        <f>TRUNC(SUM(I37:I44),2)</f>
        <v>1185.99</v>
      </c>
      <c r="J45" s="45"/>
      <c r="K45" s="118"/>
      <c r="L45" s="118"/>
      <c r="M45" s="118"/>
      <c r="N45" s="45"/>
    </row>
    <row r="46" spans="1:14" x14ac:dyDescent="0.2">
      <c r="A46" s="70"/>
      <c r="B46" s="70"/>
      <c r="C46" s="70"/>
      <c r="D46" s="70"/>
      <c r="E46" s="70"/>
      <c r="F46" s="70"/>
      <c r="G46" s="70"/>
      <c r="H46" s="76"/>
      <c r="I46" s="71"/>
      <c r="J46" s="72"/>
      <c r="K46" s="73"/>
      <c r="L46" s="73"/>
      <c r="M46" s="73"/>
    </row>
    <row r="47" spans="1:14" ht="52.5" customHeight="1" x14ac:dyDescent="0.2">
      <c r="A47" s="93" t="s">
        <v>243</v>
      </c>
      <c r="B47" s="93"/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3"/>
    </row>
    <row r="48" spans="1:14" x14ac:dyDescent="0.2">
      <c r="A48" s="106"/>
      <c r="B48" s="106"/>
      <c r="C48" s="106"/>
      <c r="D48" s="106"/>
      <c r="E48" s="106"/>
      <c r="F48" s="106"/>
      <c r="G48" s="106"/>
      <c r="H48" s="106"/>
      <c r="I48" s="107"/>
      <c r="J48" s="3"/>
      <c r="K48" s="117"/>
      <c r="L48" s="117"/>
      <c r="M48" s="117"/>
    </row>
    <row r="49" spans="1:14" ht="24.75" customHeight="1" x14ac:dyDescent="0.2">
      <c r="A49" s="97" t="s">
        <v>53</v>
      </c>
      <c r="B49" s="97"/>
      <c r="C49" s="97"/>
      <c r="D49" s="97"/>
      <c r="E49" s="97"/>
      <c r="F49" s="97"/>
      <c r="G49" s="97"/>
      <c r="H49" s="47"/>
      <c r="I49" s="40" t="s">
        <v>1</v>
      </c>
      <c r="J49" s="38" t="s">
        <v>125</v>
      </c>
      <c r="K49" s="114" t="s">
        <v>136</v>
      </c>
      <c r="L49" s="114"/>
      <c r="M49" s="114"/>
      <c r="N49" s="40" t="s">
        <v>254</v>
      </c>
    </row>
    <row r="50" spans="1:14" ht="24" x14ac:dyDescent="0.2">
      <c r="A50" s="9" t="s">
        <v>6</v>
      </c>
      <c r="B50" s="108" t="s">
        <v>54</v>
      </c>
      <c r="C50" s="108"/>
      <c r="D50" s="108"/>
      <c r="E50" s="108"/>
      <c r="F50" s="108"/>
      <c r="G50" s="108"/>
      <c r="H50" s="16">
        <v>21</v>
      </c>
      <c r="I50" s="17">
        <f>6*2*H50</f>
        <v>252</v>
      </c>
      <c r="J50" s="22" t="s">
        <v>139</v>
      </c>
      <c r="K50" s="115" t="s">
        <v>222</v>
      </c>
      <c r="L50" s="115"/>
      <c r="M50" s="115"/>
      <c r="N50" s="16" t="s">
        <v>259</v>
      </c>
    </row>
    <row r="51" spans="1:14" ht="24.95" customHeight="1" x14ac:dyDescent="0.2">
      <c r="A51" s="9" t="s">
        <v>161</v>
      </c>
      <c r="B51" s="98" t="s">
        <v>83</v>
      </c>
      <c r="C51" s="99"/>
      <c r="D51" s="99"/>
      <c r="E51" s="99"/>
      <c r="F51" s="99"/>
      <c r="G51" s="100"/>
      <c r="H51" s="18">
        <f>-6%</f>
        <v>-0.06</v>
      </c>
      <c r="I51" s="17">
        <f>H51*I21</f>
        <v>-103.63619999999999</v>
      </c>
      <c r="J51" s="22" t="s">
        <v>138</v>
      </c>
      <c r="K51" s="115" t="s">
        <v>173</v>
      </c>
      <c r="L51" s="115"/>
      <c r="M51" s="115"/>
      <c r="N51" s="85" t="s">
        <v>255</v>
      </c>
    </row>
    <row r="52" spans="1:14" ht="24.75" customHeight="1" x14ac:dyDescent="0.2">
      <c r="A52" s="9" t="s">
        <v>7</v>
      </c>
      <c r="B52" s="108" t="s">
        <v>90</v>
      </c>
      <c r="C52" s="108"/>
      <c r="D52" s="108"/>
      <c r="E52" s="108"/>
      <c r="F52" s="108"/>
      <c r="G52" s="108"/>
      <c r="H52" s="16">
        <v>30</v>
      </c>
      <c r="I52" s="17">
        <f>H52*30</f>
        <v>900</v>
      </c>
      <c r="J52" s="22" t="s">
        <v>174</v>
      </c>
      <c r="K52" s="115" t="s">
        <v>223</v>
      </c>
      <c r="L52" s="115"/>
      <c r="M52" s="115"/>
      <c r="N52" s="16" t="s">
        <v>256</v>
      </c>
    </row>
    <row r="53" spans="1:14" ht="42.75" customHeight="1" x14ac:dyDescent="0.2">
      <c r="A53" s="9" t="s">
        <v>162</v>
      </c>
      <c r="B53" s="98" t="s">
        <v>84</v>
      </c>
      <c r="C53" s="99"/>
      <c r="D53" s="99"/>
      <c r="E53" s="99"/>
      <c r="F53" s="99"/>
      <c r="G53" s="100"/>
      <c r="H53" s="19">
        <v>-0.2</v>
      </c>
      <c r="I53" s="17">
        <f>I52*H53</f>
        <v>-180</v>
      </c>
      <c r="J53" s="22" t="s">
        <v>224</v>
      </c>
      <c r="K53" s="115" t="s">
        <v>244</v>
      </c>
      <c r="L53" s="115"/>
      <c r="M53" s="115"/>
      <c r="N53" s="16" t="s">
        <v>260</v>
      </c>
    </row>
    <row r="54" spans="1:14" ht="24" customHeight="1" x14ac:dyDescent="0.2">
      <c r="A54" s="9" t="s">
        <v>8</v>
      </c>
      <c r="B54" s="98" t="s">
        <v>85</v>
      </c>
      <c r="C54" s="99"/>
      <c r="D54" s="99"/>
      <c r="E54" s="99"/>
      <c r="F54" s="99"/>
      <c r="G54" s="100"/>
      <c r="H54" s="19"/>
      <c r="I54" s="17">
        <f>I52/12</f>
        <v>75</v>
      </c>
      <c r="J54" s="24" t="s">
        <v>225</v>
      </c>
      <c r="K54" s="115" t="s">
        <v>163</v>
      </c>
      <c r="L54" s="115"/>
      <c r="M54" s="115"/>
      <c r="N54" s="16" t="s">
        <v>256</v>
      </c>
    </row>
    <row r="55" spans="1:14" ht="39.75" customHeight="1" x14ac:dyDescent="0.2">
      <c r="A55" s="9" t="s">
        <v>27</v>
      </c>
      <c r="B55" s="98" t="s">
        <v>97</v>
      </c>
      <c r="C55" s="99"/>
      <c r="D55" s="99"/>
      <c r="E55" s="99"/>
      <c r="F55" s="99"/>
      <c r="G55" s="100"/>
      <c r="H55" s="19">
        <v>-0.2</v>
      </c>
      <c r="I55" s="17">
        <f>I54*H55</f>
        <v>-15</v>
      </c>
      <c r="J55" s="22" t="s">
        <v>174</v>
      </c>
      <c r="K55" s="115" t="s">
        <v>164</v>
      </c>
      <c r="L55" s="115"/>
      <c r="M55" s="115"/>
      <c r="N55" s="16" t="s">
        <v>260</v>
      </c>
    </row>
    <row r="56" spans="1:14" ht="38.25" customHeight="1" x14ac:dyDescent="0.2">
      <c r="A56" s="9" t="s">
        <v>9</v>
      </c>
      <c r="B56" s="96" t="s">
        <v>86</v>
      </c>
      <c r="C56" s="96"/>
      <c r="D56" s="96"/>
      <c r="E56" s="96"/>
      <c r="F56" s="96"/>
      <c r="G56" s="96"/>
      <c r="H56" s="16" t="s">
        <v>0</v>
      </c>
      <c r="I56" s="17">
        <v>94.5</v>
      </c>
      <c r="J56" s="22" t="s">
        <v>226</v>
      </c>
      <c r="K56" s="115" t="s">
        <v>175</v>
      </c>
      <c r="L56" s="115"/>
      <c r="M56" s="115"/>
      <c r="N56" s="16" t="s">
        <v>256</v>
      </c>
    </row>
    <row r="57" spans="1:14" ht="90" customHeight="1" x14ac:dyDescent="0.2">
      <c r="A57" s="9" t="s">
        <v>10</v>
      </c>
      <c r="B57" s="98" t="s">
        <v>87</v>
      </c>
      <c r="C57" s="99"/>
      <c r="D57" s="99"/>
      <c r="E57" s="99"/>
      <c r="F57" s="99"/>
      <c r="G57" s="100"/>
      <c r="H57" s="11"/>
      <c r="I57" s="17">
        <f>195*6/12</f>
        <v>97.5</v>
      </c>
      <c r="J57" s="22" t="s">
        <v>227</v>
      </c>
      <c r="K57" s="124" t="s">
        <v>241</v>
      </c>
      <c r="L57" s="124"/>
      <c r="M57" s="124"/>
      <c r="N57" s="16" t="s">
        <v>256</v>
      </c>
    </row>
    <row r="58" spans="1:14" ht="24" x14ac:dyDescent="0.2">
      <c r="A58" s="9" t="s">
        <v>11</v>
      </c>
      <c r="B58" s="98" t="s">
        <v>88</v>
      </c>
      <c r="C58" s="99"/>
      <c r="D58" s="99"/>
      <c r="E58" s="99"/>
      <c r="F58" s="99"/>
      <c r="G58" s="100"/>
      <c r="H58" s="16"/>
      <c r="I58" s="17">
        <v>31</v>
      </c>
      <c r="J58" s="22" t="s">
        <v>229</v>
      </c>
      <c r="K58" s="124"/>
      <c r="L58" s="124"/>
      <c r="M58" s="124"/>
      <c r="N58" s="16" t="s">
        <v>256</v>
      </c>
    </row>
    <row r="59" spans="1:14" ht="24" x14ac:dyDescent="0.2">
      <c r="A59" s="9" t="s">
        <v>12</v>
      </c>
      <c r="B59" s="98" t="s">
        <v>89</v>
      </c>
      <c r="C59" s="99"/>
      <c r="D59" s="99"/>
      <c r="E59" s="99"/>
      <c r="F59" s="99"/>
      <c r="G59" s="100"/>
      <c r="H59" s="16"/>
      <c r="I59" s="17">
        <v>31</v>
      </c>
      <c r="J59" s="22" t="s">
        <v>230</v>
      </c>
      <c r="K59" s="115"/>
      <c r="L59" s="115"/>
      <c r="M59" s="115"/>
      <c r="N59" s="16" t="s">
        <v>256</v>
      </c>
    </row>
    <row r="60" spans="1:14" x14ac:dyDescent="0.2">
      <c r="A60" s="9" t="s">
        <v>13</v>
      </c>
      <c r="B60" s="104" t="s">
        <v>231</v>
      </c>
      <c r="C60" s="104"/>
      <c r="D60" s="104"/>
      <c r="E60" s="104"/>
      <c r="F60" s="104"/>
      <c r="G60" s="104"/>
      <c r="H60" s="16"/>
      <c r="I60" s="17">
        <f>H60</f>
        <v>0</v>
      </c>
      <c r="J60" s="22"/>
      <c r="K60" s="115"/>
      <c r="L60" s="115"/>
      <c r="M60" s="115"/>
      <c r="N60" s="85"/>
    </row>
    <row r="61" spans="1:14" x14ac:dyDescent="0.2">
      <c r="A61" s="105" t="s">
        <v>55</v>
      </c>
      <c r="B61" s="105"/>
      <c r="C61" s="105"/>
      <c r="D61" s="105"/>
      <c r="E61" s="105"/>
      <c r="F61" s="105"/>
      <c r="G61" s="105"/>
      <c r="H61" s="105"/>
      <c r="I61" s="42">
        <f>TRUNC(SUM(I50:I60),2)</f>
        <v>1182.3599999999999</v>
      </c>
      <c r="J61" s="45"/>
      <c r="K61" s="118"/>
      <c r="L61" s="118"/>
      <c r="M61" s="118"/>
      <c r="N61" s="45"/>
    </row>
    <row r="62" spans="1:14" x14ac:dyDescent="0.2">
      <c r="A62" s="70"/>
      <c r="B62" s="70"/>
      <c r="C62" s="70"/>
      <c r="D62" s="70"/>
      <c r="E62" s="70"/>
      <c r="F62" s="70"/>
      <c r="G62" s="70"/>
      <c r="H62" s="70"/>
      <c r="I62" s="71"/>
      <c r="J62" s="72"/>
      <c r="K62" s="73"/>
      <c r="L62" s="73"/>
      <c r="M62" s="73"/>
    </row>
    <row r="63" spans="1:14" ht="141.75" customHeight="1" x14ac:dyDescent="0.2">
      <c r="A63" s="93" t="s">
        <v>266</v>
      </c>
      <c r="B63" s="93"/>
      <c r="C63" s="93"/>
      <c r="D63" s="93"/>
      <c r="E63" s="93"/>
      <c r="F63" s="93"/>
      <c r="G63" s="93"/>
      <c r="H63" s="93"/>
      <c r="I63" s="93"/>
      <c r="J63" s="93"/>
      <c r="K63" s="93"/>
      <c r="L63" s="93"/>
      <c r="M63" s="93"/>
      <c r="N63" s="93"/>
    </row>
    <row r="64" spans="1:14" x14ac:dyDescent="0.2">
      <c r="A64" s="106"/>
      <c r="B64" s="106"/>
      <c r="C64" s="106"/>
      <c r="D64" s="106"/>
      <c r="E64" s="106"/>
      <c r="F64" s="106"/>
      <c r="G64" s="106"/>
      <c r="H64" s="106"/>
      <c r="I64" s="107"/>
      <c r="J64" s="3"/>
      <c r="K64" s="117"/>
      <c r="L64" s="117"/>
      <c r="M64" s="117"/>
    </row>
    <row r="65" spans="1:14" ht="24.75" customHeight="1" x14ac:dyDescent="0.2">
      <c r="A65" s="97" t="s">
        <v>56</v>
      </c>
      <c r="B65" s="97"/>
      <c r="C65" s="97"/>
      <c r="D65" s="97"/>
      <c r="E65" s="97"/>
      <c r="F65" s="97"/>
      <c r="G65" s="97"/>
      <c r="H65" s="97"/>
      <c r="I65" s="97"/>
      <c r="J65" s="3"/>
      <c r="K65" s="117"/>
      <c r="L65" s="117"/>
      <c r="M65" s="117"/>
    </row>
    <row r="66" spans="1:14" x14ac:dyDescent="0.2">
      <c r="A66" s="97" t="s">
        <v>60</v>
      </c>
      <c r="B66" s="97"/>
      <c r="C66" s="97"/>
      <c r="D66" s="97"/>
      <c r="E66" s="97"/>
      <c r="F66" s="97"/>
      <c r="G66" s="97"/>
      <c r="H66" s="97"/>
      <c r="I66" s="40" t="s">
        <v>1</v>
      </c>
      <c r="J66" s="3"/>
      <c r="K66" s="117"/>
      <c r="L66" s="117"/>
      <c r="M66" s="117"/>
    </row>
    <row r="67" spans="1:14" x14ac:dyDescent="0.2">
      <c r="A67" s="9" t="s">
        <v>57</v>
      </c>
      <c r="B67" s="101" t="s">
        <v>40</v>
      </c>
      <c r="C67" s="101"/>
      <c r="D67" s="101"/>
      <c r="E67" s="101"/>
      <c r="F67" s="101"/>
      <c r="G67" s="101"/>
      <c r="H67" s="101"/>
      <c r="I67" s="10">
        <f>I34</f>
        <v>485.1</v>
      </c>
      <c r="J67" s="3"/>
      <c r="K67" s="117"/>
      <c r="L67" s="117"/>
      <c r="M67" s="117"/>
    </row>
    <row r="68" spans="1:14" x14ac:dyDescent="0.2">
      <c r="A68" s="9" t="s">
        <v>58</v>
      </c>
      <c r="B68" s="101" t="s">
        <v>114</v>
      </c>
      <c r="C68" s="101"/>
      <c r="D68" s="101"/>
      <c r="E68" s="101"/>
      <c r="F68" s="101"/>
      <c r="G68" s="101"/>
      <c r="H68" s="101"/>
      <c r="I68" s="10">
        <f>SUM(I37:I43)</f>
        <v>947.6</v>
      </c>
      <c r="J68" s="3"/>
      <c r="K68" s="117"/>
      <c r="L68" s="117"/>
      <c r="M68" s="117"/>
    </row>
    <row r="69" spans="1:14" x14ac:dyDescent="0.2">
      <c r="A69" s="9" t="s">
        <v>58</v>
      </c>
      <c r="B69" s="101" t="s">
        <v>113</v>
      </c>
      <c r="C69" s="102"/>
      <c r="D69" s="102"/>
      <c r="E69" s="102"/>
      <c r="F69" s="102"/>
      <c r="G69" s="102"/>
      <c r="H69" s="103"/>
      <c r="I69" s="10">
        <f>I44</f>
        <v>238.39</v>
      </c>
      <c r="J69" s="3"/>
      <c r="K69" s="117"/>
      <c r="L69" s="117"/>
      <c r="M69" s="117"/>
    </row>
    <row r="70" spans="1:14" x14ac:dyDescent="0.2">
      <c r="A70" s="9" t="s">
        <v>59</v>
      </c>
      <c r="B70" s="101" t="s">
        <v>61</v>
      </c>
      <c r="C70" s="101"/>
      <c r="D70" s="101"/>
      <c r="E70" s="101"/>
      <c r="F70" s="101"/>
      <c r="G70" s="101"/>
      <c r="H70" s="101"/>
      <c r="I70" s="10">
        <f>I61</f>
        <v>1182.3599999999999</v>
      </c>
      <c r="J70" s="3"/>
      <c r="K70" s="117"/>
      <c r="L70" s="117"/>
      <c r="M70" s="117"/>
    </row>
    <row r="71" spans="1:14" x14ac:dyDescent="0.2">
      <c r="A71" s="105" t="s">
        <v>63</v>
      </c>
      <c r="B71" s="105"/>
      <c r="C71" s="105"/>
      <c r="D71" s="105"/>
      <c r="E71" s="105"/>
      <c r="F71" s="105"/>
      <c r="G71" s="105"/>
      <c r="H71" s="105"/>
      <c r="I71" s="42">
        <f>ROUND(SUM(I67:I70),2)</f>
        <v>2853.45</v>
      </c>
      <c r="J71" s="3"/>
      <c r="K71" s="117"/>
      <c r="L71" s="117"/>
      <c r="M71" s="117"/>
    </row>
    <row r="72" spans="1:14" x14ac:dyDescent="0.2">
      <c r="A72" s="111"/>
      <c r="B72" s="112"/>
      <c r="C72" s="112"/>
      <c r="D72" s="112"/>
      <c r="E72" s="112"/>
      <c r="F72" s="112"/>
      <c r="G72" s="112"/>
      <c r="H72" s="112"/>
      <c r="I72" s="112"/>
      <c r="J72" s="3"/>
      <c r="K72" s="117"/>
      <c r="L72" s="117"/>
      <c r="M72" s="117"/>
    </row>
    <row r="73" spans="1:14" ht="15" customHeight="1" x14ac:dyDescent="0.2">
      <c r="A73" s="92" t="s">
        <v>64</v>
      </c>
      <c r="B73" s="92"/>
      <c r="C73" s="92"/>
      <c r="D73" s="92"/>
      <c r="E73" s="92"/>
      <c r="F73" s="92"/>
      <c r="G73" s="92"/>
      <c r="H73" s="92"/>
      <c r="I73" s="92"/>
      <c r="J73" s="92"/>
      <c r="K73" s="92"/>
      <c r="L73" s="92"/>
      <c r="M73" s="92"/>
      <c r="N73" s="92"/>
    </row>
    <row r="74" spans="1:14" ht="24" customHeight="1" x14ac:dyDescent="0.2">
      <c r="A74" s="40">
        <v>3</v>
      </c>
      <c r="B74" s="97" t="s">
        <v>65</v>
      </c>
      <c r="C74" s="97"/>
      <c r="D74" s="97"/>
      <c r="E74" s="97"/>
      <c r="F74" s="97"/>
      <c r="G74" s="97"/>
      <c r="H74" s="40" t="s">
        <v>3</v>
      </c>
      <c r="I74" s="40" t="s">
        <v>1</v>
      </c>
      <c r="J74" s="38" t="s">
        <v>125</v>
      </c>
      <c r="K74" s="114" t="s">
        <v>136</v>
      </c>
      <c r="L74" s="114"/>
      <c r="M74" s="114"/>
      <c r="N74" s="40" t="s">
        <v>254</v>
      </c>
    </row>
    <row r="75" spans="1:14" ht="55.5" customHeight="1" x14ac:dyDescent="0.2">
      <c r="A75" s="9" t="s">
        <v>6</v>
      </c>
      <c r="B75" s="96" t="s">
        <v>109</v>
      </c>
      <c r="C75" s="96"/>
      <c r="D75" s="96"/>
      <c r="E75" s="96"/>
      <c r="F75" s="96"/>
      <c r="G75" s="96"/>
      <c r="H75" s="13">
        <f>'DADOS CAGED PR'!B10</f>
        <v>0.33710000000000001</v>
      </c>
      <c r="I75" s="10">
        <f>TRUNC(SUM(I76:I79)*H75,2)</f>
        <v>155.76</v>
      </c>
      <c r="J75" s="25" t="s">
        <v>232</v>
      </c>
      <c r="K75" s="115" t="s">
        <v>236</v>
      </c>
      <c r="L75" s="115"/>
      <c r="M75" s="115"/>
      <c r="N75" s="16" t="s">
        <v>261</v>
      </c>
    </row>
    <row r="76" spans="1:14" ht="64.5" customHeight="1" x14ac:dyDescent="0.2">
      <c r="A76" s="9" t="s">
        <v>110</v>
      </c>
      <c r="B76" s="96" t="s">
        <v>66</v>
      </c>
      <c r="C76" s="96"/>
      <c r="D76" s="96"/>
      <c r="E76" s="96"/>
      <c r="F76" s="96"/>
      <c r="G76" s="96"/>
      <c r="H76" s="13"/>
      <c r="I76" s="10">
        <f>(I27+I34)/12</f>
        <v>248.32166666666669</v>
      </c>
      <c r="J76" s="22" t="s">
        <v>116</v>
      </c>
      <c r="K76" s="115" t="s">
        <v>248</v>
      </c>
      <c r="L76" s="115"/>
      <c r="M76" s="115"/>
      <c r="N76" s="85" t="s">
        <v>255</v>
      </c>
    </row>
    <row r="77" spans="1:14" ht="27.95" customHeight="1" x14ac:dyDescent="0.2">
      <c r="A77" s="9" t="s">
        <v>111</v>
      </c>
      <c r="B77" s="96" t="s">
        <v>108</v>
      </c>
      <c r="C77" s="96"/>
      <c r="D77" s="96"/>
      <c r="E77" s="96"/>
      <c r="F77" s="96"/>
      <c r="G77" s="96"/>
      <c r="H77" s="15">
        <f>H44</f>
        <v>0.08</v>
      </c>
      <c r="I77" s="10">
        <f>I76*H77</f>
        <v>19.865733333333335</v>
      </c>
      <c r="J77" s="22" t="s">
        <v>166</v>
      </c>
      <c r="K77" s="115" t="s">
        <v>132</v>
      </c>
      <c r="L77" s="115"/>
      <c r="M77" s="115"/>
      <c r="N77" s="85" t="s">
        <v>255</v>
      </c>
    </row>
    <row r="78" spans="1:14" ht="35.25" customHeight="1" x14ac:dyDescent="0.2">
      <c r="A78" s="9" t="s">
        <v>112</v>
      </c>
      <c r="B78" s="96" t="s">
        <v>247</v>
      </c>
      <c r="C78" s="96"/>
      <c r="D78" s="96"/>
      <c r="E78" s="96"/>
      <c r="F78" s="96"/>
      <c r="G78" s="96"/>
      <c r="H78" s="15"/>
      <c r="I78" s="10">
        <f>I61/12</f>
        <v>98.529999999999987</v>
      </c>
      <c r="J78" s="24"/>
      <c r="K78" s="125" t="s">
        <v>249</v>
      </c>
      <c r="L78" s="125"/>
      <c r="M78" s="125"/>
      <c r="N78" s="85" t="s">
        <v>255</v>
      </c>
    </row>
    <row r="79" spans="1:14" ht="31.5" customHeight="1" x14ac:dyDescent="0.2">
      <c r="A79" s="9" t="s">
        <v>115</v>
      </c>
      <c r="B79" s="96" t="s">
        <v>98</v>
      </c>
      <c r="C79" s="96"/>
      <c r="D79" s="96"/>
      <c r="E79" s="96"/>
      <c r="F79" s="96"/>
      <c r="G79" s="96"/>
      <c r="H79" s="15">
        <f>0.4*H44</f>
        <v>3.2000000000000001E-2</v>
      </c>
      <c r="I79" s="10">
        <f>I44*40%</f>
        <v>95.355999999999995</v>
      </c>
      <c r="J79" s="24" t="s">
        <v>165</v>
      </c>
      <c r="K79" s="125" t="s">
        <v>131</v>
      </c>
      <c r="L79" s="125"/>
      <c r="M79" s="125"/>
      <c r="N79" s="85" t="s">
        <v>255</v>
      </c>
    </row>
    <row r="80" spans="1:14" ht="54" customHeight="1" x14ac:dyDescent="0.2">
      <c r="A80" s="9" t="s">
        <v>7</v>
      </c>
      <c r="B80" s="96" t="s">
        <v>117</v>
      </c>
      <c r="C80" s="96"/>
      <c r="D80" s="96"/>
      <c r="E80" s="96"/>
      <c r="F80" s="96"/>
      <c r="G80" s="96"/>
      <c r="H80" s="13">
        <f>'DADOS CAGED PR'!B11</f>
        <v>0.33710000000000001</v>
      </c>
      <c r="I80" s="10">
        <f>TRUNC(SUM(I81:I82)*H80,2)</f>
        <v>67.2</v>
      </c>
      <c r="J80" s="22" t="s">
        <v>233</v>
      </c>
      <c r="K80" s="115" t="s">
        <v>250</v>
      </c>
      <c r="L80" s="115"/>
      <c r="M80" s="115"/>
      <c r="N80" s="16" t="s">
        <v>261</v>
      </c>
    </row>
    <row r="81" spans="1:14" ht="75.75" customHeight="1" x14ac:dyDescent="0.2">
      <c r="A81" s="9" t="s">
        <v>118</v>
      </c>
      <c r="B81" s="96" t="s">
        <v>120</v>
      </c>
      <c r="C81" s="96"/>
      <c r="D81" s="96"/>
      <c r="E81" s="96"/>
      <c r="F81" s="96"/>
      <c r="G81" s="96"/>
      <c r="H81" s="15"/>
      <c r="I81" s="10">
        <f>(I27+I71)/12*7/30</f>
        <v>103.99297222222222</v>
      </c>
      <c r="J81" s="22" t="s">
        <v>251</v>
      </c>
      <c r="K81" s="115" t="s">
        <v>129</v>
      </c>
      <c r="L81" s="115"/>
      <c r="M81" s="115"/>
      <c r="N81" s="85" t="s">
        <v>255</v>
      </c>
    </row>
    <row r="82" spans="1:14" ht="22.5" customHeight="1" x14ac:dyDescent="0.2">
      <c r="A82" s="9" t="s">
        <v>119</v>
      </c>
      <c r="B82" s="96" t="s">
        <v>121</v>
      </c>
      <c r="C82" s="96"/>
      <c r="D82" s="96"/>
      <c r="E82" s="96"/>
      <c r="F82" s="96"/>
      <c r="G82" s="96"/>
      <c r="H82" s="15">
        <f>0.4*H44</f>
        <v>3.2000000000000001E-2</v>
      </c>
      <c r="I82" s="10">
        <f>H82*($I$27+$I$34)</f>
        <v>95.355520000000013</v>
      </c>
      <c r="J82" s="24" t="s">
        <v>130</v>
      </c>
      <c r="K82" s="115" t="s">
        <v>131</v>
      </c>
      <c r="L82" s="115"/>
      <c r="M82" s="115"/>
      <c r="N82" s="85" t="s">
        <v>255</v>
      </c>
    </row>
    <row r="83" spans="1:14" ht="13.5" customHeight="1" x14ac:dyDescent="0.2">
      <c r="A83" s="105" t="s">
        <v>67</v>
      </c>
      <c r="B83" s="105"/>
      <c r="C83" s="105"/>
      <c r="D83" s="105"/>
      <c r="E83" s="105"/>
      <c r="F83" s="105"/>
      <c r="G83" s="105"/>
      <c r="H83" s="105"/>
      <c r="I83" s="42">
        <f>TRUNC(I75+I80,2)</f>
        <v>222.96</v>
      </c>
      <c r="J83" s="43"/>
      <c r="K83" s="118"/>
      <c r="L83" s="118"/>
      <c r="M83" s="118"/>
      <c r="N83" s="43"/>
    </row>
    <row r="84" spans="1:14" ht="13.5" customHeight="1" x14ac:dyDescent="0.2">
      <c r="A84" s="78"/>
      <c r="B84" s="78"/>
      <c r="C84" s="78"/>
      <c r="D84" s="78"/>
      <c r="E84" s="78"/>
      <c r="F84" s="78"/>
      <c r="G84" s="78"/>
      <c r="H84" s="78"/>
      <c r="I84" s="71"/>
      <c r="J84" s="73"/>
      <c r="K84" s="73"/>
      <c r="L84" s="73"/>
      <c r="M84" s="73"/>
    </row>
    <row r="85" spans="1:14" ht="126" customHeight="1" x14ac:dyDescent="0.2">
      <c r="A85" s="93" t="s">
        <v>267</v>
      </c>
      <c r="B85" s="93"/>
      <c r="C85" s="93"/>
      <c r="D85" s="93"/>
      <c r="E85" s="93"/>
      <c r="F85" s="93"/>
      <c r="G85" s="93"/>
      <c r="H85" s="93"/>
      <c r="I85" s="93"/>
      <c r="J85" s="93"/>
      <c r="K85" s="93"/>
      <c r="L85" s="93"/>
      <c r="M85" s="93"/>
      <c r="N85" s="93"/>
    </row>
    <row r="86" spans="1:14" x14ac:dyDescent="0.2">
      <c r="A86" s="122"/>
      <c r="B86" s="123"/>
      <c r="C86" s="123"/>
      <c r="D86" s="123"/>
      <c r="E86" s="123"/>
      <c r="F86" s="123"/>
      <c r="G86" s="123"/>
      <c r="H86" s="123"/>
      <c r="I86" s="123"/>
      <c r="J86" s="3"/>
      <c r="K86" s="117"/>
      <c r="L86" s="117"/>
      <c r="M86" s="117"/>
    </row>
    <row r="87" spans="1:14" ht="15" customHeight="1" x14ac:dyDescent="0.2">
      <c r="A87" s="92" t="s">
        <v>68</v>
      </c>
      <c r="B87" s="92"/>
      <c r="C87" s="92"/>
      <c r="D87" s="92"/>
      <c r="E87" s="92"/>
      <c r="F87" s="92"/>
      <c r="G87" s="92"/>
      <c r="H87" s="92"/>
      <c r="I87" s="92"/>
      <c r="J87" s="92"/>
      <c r="K87" s="92"/>
      <c r="L87" s="92"/>
      <c r="M87" s="92"/>
      <c r="N87" s="92"/>
    </row>
    <row r="88" spans="1:14" ht="24" customHeight="1" x14ac:dyDescent="0.2">
      <c r="A88" s="97" t="s">
        <v>167</v>
      </c>
      <c r="B88" s="97"/>
      <c r="C88" s="97"/>
      <c r="D88" s="97"/>
      <c r="E88" s="97"/>
      <c r="F88" s="97"/>
      <c r="G88" s="97"/>
      <c r="H88" s="40" t="s">
        <v>264</v>
      </c>
      <c r="I88" s="40" t="s">
        <v>1</v>
      </c>
      <c r="J88" s="38" t="s">
        <v>125</v>
      </c>
      <c r="K88" s="114" t="s">
        <v>136</v>
      </c>
      <c r="L88" s="114"/>
      <c r="M88" s="114"/>
      <c r="N88" s="40" t="s">
        <v>254</v>
      </c>
    </row>
    <row r="89" spans="1:14" ht="52.5" customHeight="1" x14ac:dyDescent="0.2">
      <c r="A89" s="9" t="s">
        <v>6</v>
      </c>
      <c r="B89" s="96" t="s">
        <v>237</v>
      </c>
      <c r="C89" s="96"/>
      <c r="D89" s="96"/>
      <c r="E89" s="96"/>
      <c r="F89" s="96"/>
      <c r="G89" s="96"/>
      <c r="H89" s="79">
        <v>30</v>
      </c>
      <c r="I89" s="17">
        <f>I34/12</f>
        <v>40.425000000000004</v>
      </c>
      <c r="J89" s="24"/>
      <c r="K89" s="115" t="s">
        <v>242</v>
      </c>
      <c r="L89" s="115"/>
      <c r="M89" s="115"/>
      <c r="N89" s="85" t="s">
        <v>255</v>
      </c>
    </row>
    <row r="90" spans="1:14" ht="92.25" customHeight="1" x14ac:dyDescent="0.2">
      <c r="A90" s="9" t="s">
        <v>7</v>
      </c>
      <c r="B90" s="96" t="s">
        <v>252</v>
      </c>
      <c r="C90" s="96"/>
      <c r="D90" s="96"/>
      <c r="E90" s="96"/>
      <c r="F90" s="96"/>
      <c r="G90" s="96"/>
      <c r="H90" s="79">
        <f>'Ausências Legais'!E14</f>
        <v>7</v>
      </c>
      <c r="I90" s="17">
        <f>'Ausências Legais'!D18*H90/12</f>
        <v>62.277055555555556</v>
      </c>
      <c r="J90" s="24" t="s">
        <v>122</v>
      </c>
      <c r="K90" s="115" t="s">
        <v>235</v>
      </c>
      <c r="L90" s="115"/>
      <c r="M90" s="115"/>
      <c r="N90" s="16" t="s">
        <v>262</v>
      </c>
    </row>
    <row r="91" spans="1:14" ht="14.25" customHeight="1" x14ac:dyDescent="0.2">
      <c r="A91" s="9" t="s">
        <v>8</v>
      </c>
      <c r="B91" s="96" t="s">
        <v>4</v>
      </c>
      <c r="C91" s="96"/>
      <c r="D91" s="96"/>
      <c r="E91" s="96"/>
      <c r="F91" s="96"/>
      <c r="G91" s="96"/>
      <c r="H91" s="15"/>
      <c r="I91" s="69"/>
      <c r="J91" s="23"/>
      <c r="K91" s="115"/>
      <c r="L91" s="115"/>
      <c r="M91" s="115"/>
      <c r="N91" s="85"/>
    </row>
    <row r="92" spans="1:14" ht="12.75" customHeight="1" x14ac:dyDescent="0.2">
      <c r="A92" s="88" t="s">
        <v>17</v>
      </c>
      <c r="B92" s="89"/>
      <c r="C92" s="89"/>
      <c r="D92" s="89"/>
      <c r="E92" s="89"/>
      <c r="F92" s="89"/>
      <c r="G92" s="89"/>
      <c r="H92" s="90"/>
      <c r="I92" s="42">
        <f>TRUNC(SUM(I89:I91),2)</f>
        <v>102.7</v>
      </c>
      <c r="J92" s="45"/>
      <c r="K92" s="118"/>
      <c r="L92" s="118"/>
      <c r="M92" s="118"/>
      <c r="N92" s="45"/>
    </row>
    <row r="93" spans="1:14" x14ac:dyDescent="0.2">
      <c r="A93" s="70"/>
      <c r="B93" s="70"/>
      <c r="C93" s="70"/>
      <c r="D93" s="70"/>
      <c r="E93" s="70"/>
      <c r="F93" s="70"/>
      <c r="G93" s="70"/>
      <c r="H93" s="75"/>
      <c r="I93" s="71"/>
      <c r="J93" s="72"/>
      <c r="K93" s="73"/>
      <c r="L93" s="73"/>
      <c r="M93" s="73"/>
    </row>
    <row r="94" spans="1:14" ht="108.75" customHeight="1" x14ac:dyDescent="0.2">
      <c r="A94" s="93" t="s">
        <v>253</v>
      </c>
      <c r="B94" s="93"/>
      <c r="C94" s="93"/>
      <c r="D94" s="93"/>
      <c r="E94" s="93"/>
      <c r="F94" s="93"/>
      <c r="G94" s="93"/>
      <c r="H94" s="93"/>
      <c r="I94" s="93"/>
      <c r="J94" s="93"/>
      <c r="K94" s="93"/>
      <c r="L94" s="93"/>
      <c r="M94" s="93"/>
      <c r="N94" s="93"/>
    </row>
    <row r="96" spans="1:14" ht="23.25" customHeight="1" x14ac:dyDescent="0.2">
      <c r="A96" s="97" t="s">
        <v>209</v>
      </c>
      <c r="B96" s="97"/>
      <c r="C96" s="97"/>
      <c r="D96" s="97"/>
      <c r="E96" s="97"/>
      <c r="F96" s="97"/>
      <c r="G96" s="97"/>
      <c r="H96" s="40" t="s">
        <v>3</v>
      </c>
      <c r="I96" s="40" t="s">
        <v>1</v>
      </c>
      <c r="J96" s="39" t="s">
        <v>125</v>
      </c>
      <c r="K96" s="114" t="s">
        <v>136</v>
      </c>
      <c r="L96" s="114"/>
      <c r="M96" s="114"/>
      <c r="N96" s="40" t="s">
        <v>254</v>
      </c>
    </row>
    <row r="97" spans="1:14" ht="30.75" customHeight="1" x14ac:dyDescent="0.2">
      <c r="A97" s="9" t="s">
        <v>6</v>
      </c>
      <c r="B97" s="96" t="s">
        <v>210</v>
      </c>
      <c r="C97" s="96"/>
      <c r="D97" s="96"/>
      <c r="E97" s="96"/>
      <c r="F97" s="96"/>
      <c r="G97" s="96"/>
      <c r="H97" s="13"/>
      <c r="I97" s="10"/>
      <c r="J97" s="22" t="s">
        <v>212</v>
      </c>
      <c r="K97" s="115"/>
      <c r="L97" s="115"/>
      <c r="M97" s="115"/>
      <c r="N97" s="85" t="s">
        <v>255</v>
      </c>
    </row>
    <row r="98" spans="1:14" x14ac:dyDescent="0.2">
      <c r="A98" s="109" t="s">
        <v>18</v>
      </c>
      <c r="B98" s="109"/>
      <c r="C98" s="109"/>
      <c r="D98" s="109"/>
      <c r="E98" s="109"/>
      <c r="F98" s="109"/>
      <c r="G98" s="109"/>
      <c r="H98" s="44">
        <f>TRUNC(SUM(H97),4)</f>
        <v>0</v>
      </c>
      <c r="I98" s="42">
        <f>ROUND(SUM(I97),2)</f>
        <v>0</v>
      </c>
      <c r="J98" s="45"/>
      <c r="K98" s="126"/>
      <c r="L98" s="126"/>
      <c r="M98" s="126"/>
      <c r="N98" s="45"/>
    </row>
    <row r="99" spans="1:14" x14ac:dyDescent="0.2">
      <c r="A99" s="128"/>
      <c r="B99" s="129"/>
      <c r="C99" s="129"/>
      <c r="D99" s="129"/>
      <c r="E99" s="129"/>
      <c r="F99" s="129"/>
      <c r="G99" s="129"/>
      <c r="H99" s="129"/>
      <c r="I99" s="129"/>
      <c r="J99" s="3"/>
      <c r="K99" s="117"/>
      <c r="L99" s="117"/>
      <c r="M99" s="117"/>
    </row>
    <row r="100" spans="1:14" ht="25.5" customHeight="1" x14ac:dyDescent="0.2">
      <c r="A100" s="97" t="s">
        <v>70</v>
      </c>
      <c r="B100" s="97"/>
      <c r="C100" s="97"/>
      <c r="D100" s="97"/>
      <c r="E100" s="97"/>
      <c r="F100" s="97"/>
      <c r="G100" s="97"/>
      <c r="H100" s="97"/>
      <c r="I100" s="97"/>
      <c r="J100" s="3"/>
      <c r="K100" s="117"/>
      <c r="L100" s="117"/>
      <c r="M100" s="117"/>
    </row>
    <row r="101" spans="1:14" x14ac:dyDescent="0.2">
      <c r="A101" s="97" t="s">
        <v>71</v>
      </c>
      <c r="B101" s="97"/>
      <c r="C101" s="97"/>
      <c r="D101" s="97"/>
      <c r="E101" s="97"/>
      <c r="F101" s="97"/>
      <c r="G101" s="97"/>
      <c r="H101" s="97"/>
      <c r="I101" s="40" t="s">
        <v>1</v>
      </c>
      <c r="J101" s="3"/>
      <c r="K101" s="117"/>
      <c r="L101" s="117"/>
      <c r="M101" s="117"/>
    </row>
    <row r="102" spans="1:14" ht="14.1" customHeight="1" x14ac:dyDescent="0.2">
      <c r="A102" s="9" t="s">
        <v>20</v>
      </c>
      <c r="B102" s="101" t="s">
        <v>69</v>
      </c>
      <c r="C102" s="101"/>
      <c r="D102" s="101"/>
      <c r="E102" s="101"/>
      <c r="F102" s="101"/>
      <c r="G102" s="101"/>
      <c r="H102" s="101"/>
      <c r="I102" s="10">
        <f>I92</f>
        <v>102.7</v>
      </c>
      <c r="J102" s="3"/>
      <c r="K102" s="117"/>
      <c r="L102" s="117"/>
      <c r="M102" s="117"/>
    </row>
    <row r="103" spans="1:14" ht="14.1" customHeight="1" x14ac:dyDescent="0.2">
      <c r="A103" s="9" t="s">
        <v>21</v>
      </c>
      <c r="B103" s="101" t="s">
        <v>72</v>
      </c>
      <c r="C103" s="101"/>
      <c r="D103" s="101"/>
      <c r="E103" s="101"/>
      <c r="F103" s="101"/>
      <c r="G103" s="101"/>
      <c r="H103" s="101"/>
      <c r="I103" s="10">
        <f>I98</f>
        <v>0</v>
      </c>
      <c r="J103" s="3"/>
      <c r="K103" s="117"/>
      <c r="L103" s="117"/>
      <c r="M103" s="117"/>
    </row>
    <row r="104" spans="1:14" ht="14.1" customHeight="1" x14ac:dyDescent="0.2">
      <c r="A104" s="9" t="s">
        <v>94</v>
      </c>
      <c r="B104" s="127" t="s">
        <v>95</v>
      </c>
      <c r="C104" s="102"/>
      <c r="D104" s="102"/>
      <c r="E104" s="102"/>
      <c r="F104" s="102"/>
      <c r="G104" s="102"/>
      <c r="H104" s="103"/>
      <c r="I104" s="10">
        <f>I92*H45</f>
        <v>40.874600000000008</v>
      </c>
      <c r="J104" s="3"/>
      <c r="K104" s="117"/>
      <c r="L104" s="117"/>
      <c r="M104" s="117"/>
    </row>
    <row r="105" spans="1:14" x14ac:dyDescent="0.2">
      <c r="A105" s="105" t="s">
        <v>73</v>
      </c>
      <c r="B105" s="105"/>
      <c r="C105" s="105"/>
      <c r="D105" s="105"/>
      <c r="E105" s="105"/>
      <c r="F105" s="105"/>
      <c r="G105" s="105"/>
      <c r="H105" s="105"/>
      <c r="I105" s="42">
        <f>ROUND(SUM(I102:I104),2)</f>
        <v>143.57</v>
      </c>
      <c r="J105" s="3"/>
      <c r="K105" s="117"/>
      <c r="L105" s="117"/>
      <c r="M105" s="117"/>
    </row>
    <row r="106" spans="1:14" x14ac:dyDescent="0.2">
      <c r="A106" s="111"/>
      <c r="B106" s="112"/>
      <c r="C106" s="112"/>
      <c r="D106" s="112"/>
      <c r="E106" s="112"/>
      <c r="F106" s="112"/>
      <c r="G106" s="112"/>
      <c r="H106" s="112"/>
      <c r="I106" s="112"/>
      <c r="J106" s="3"/>
      <c r="K106" s="117"/>
      <c r="L106" s="117"/>
      <c r="M106" s="117"/>
    </row>
    <row r="107" spans="1:14" ht="14.25" customHeight="1" x14ac:dyDescent="0.2">
      <c r="A107" s="130" t="s">
        <v>74</v>
      </c>
      <c r="B107" s="130"/>
      <c r="C107" s="130"/>
      <c r="D107" s="130"/>
      <c r="E107" s="130"/>
      <c r="F107" s="130"/>
      <c r="G107" s="130"/>
      <c r="H107" s="130"/>
      <c r="I107" s="130"/>
      <c r="J107" s="130"/>
      <c r="K107" s="130"/>
      <c r="L107" s="130"/>
      <c r="M107" s="130"/>
      <c r="N107" s="130"/>
    </row>
    <row r="108" spans="1:14" ht="23.25" customHeight="1" x14ac:dyDescent="0.2">
      <c r="A108" s="40">
        <v>5</v>
      </c>
      <c r="B108" s="97" t="s">
        <v>15</v>
      </c>
      <c r="C108" s="97"/>
      <c r="D108" s="97"/>
      <c r="E108" s="97"/>
      <c r="F108" s="97"/>
      <c r="G108" s="97"/>
      <c r="H108" s="40"/>
      <c r="I108" s="40" t="s">
        <v>1</v>
      </c>
      <c r="J108" s="83" t="s">
        <v>125</v>
      </c>
      <c r="K108" s="134" t="s">
        <v>136</v>
      </c>
      <c r="L108" s="134"/>
      <c r="M108" s="134"/>
      <c r="N108" s="40" t="s">
        <v>254</v>
      </c>
    </row>
    <row r="109" spans="1:14" ht="12.75" customHeight="1" x14ac:dyDescent="0.2">
      <c r="A109" s="9" t="s">
        <v>6</v>
      </c>
      <c r="B109" s="108" t="s">
        <v>75</v>
      </c>
      <c r="C109" s="108"/>
      <c r="D109" s="108"/>
      <c r="E109" s="108"/>
      <c r="F109" s="108"/>
      <c r="G109" s="108"/>
      <c r="H109" s="13"/>
      <c r="I109" s="10">
        <v>142.5</v>
      </c>
      <c r="J109" s="84"/>
      <c r="K109" s="135"/>
      <c r="L109" s="135"/>
      <c r="M109" s="135"/>
      <c r="N109" s="131" t="s">
        <v>268</v>
      </c>
    </row>
    <row r="110" spans="1:14" x14ac:dyDescent="0.2">
      <c r="A110" s="9" t="s">
        <v>7</v>
      </c>
      <c r="B110" s="104" t="s">
        <v>213</v>
      </c>
      <c r="C110" s="104"/>
      <c r="D110" s="104"/>
      <c r="E110" s="104"/>
      <c r="F110" s="104"/>
      <c r="G110" s="104"/>
      <c r="H110" s="16" t="s">
        <v>0</v>
      </c>
      <c r="I110" s="10"/>
      <c r="J110" s="84"/>
      <c r="K110" s="135"/>
      <c r="L110" s="135"/>
      <c r="M110" s="135"/>
      <c r="N110" s="132"/>
    </row>
    <row r="111" spans="1:14" x14ac:dyDescent="0.2">
      <c r="A111" s="20" t="s">
        <v>8</v>
      </c>
      <c r="B111" s="104" t="s">
        <v>16</v>
      </c>
      <c r="C111" s="104"/>
      <c r="D111" s="104"/>
      <c r="E111" s="104"/>
      <c r="F111" s="104"/>
      <c r="G111" s="104"/>
      <c r="H111" s="16" t="s">
        <v>0</v>
      </c>
      <c r="I111" s="10"/>
      <c r="J111" s="84"/>
      <c r="K111" s="135"/>
      <c r="L111" s="135"/>
      <c r="M111" s="135"/>
      <c r="N111" s="132"/>
    </row>
    <row r="112" spans="1:14" x14ac:dyDescent="0.2">
      <c r="A112" s="20" t="s">
        <v>9</v>
      </c>
      <c r="B112" s="104" t="s">
        <v>4</v>
      </c>
      <c r="C112" s="104"/>
      <c r="D112" s="104"/>
      <c r="E112" s="104"/>
      <c r="F112" s="104"/>
      <c r="G112" s="104"/>
      <c r="H112" s="16" t="s">
        <v>0</v>
      </c>
      <c r="I112" s="10"/>
      <c r="J112" s="84"/>
      <c r="K112" s="135"/>
      <c r="L112" s="135"/>
      <c r="M112" s="135"/>
      <c r="N112" s="133"/>
    </row>
    <row r="113" spans="1:14" x14ac:dyDescent="0.2">
      <c r="A113" s="105" t="s">
        <v>76</v>
      </c>
      <c r="B113" s="105"/>
      <c r="C113" s="105"/>
      <c r="D113" s="105"/>
      <c r="E113" s="105"/>
      <c r="F113" s="105"/>
      <c r="G113" s="105"/>
      <c r="H113" s="44" t="s">
        <v>0</v>
      </c>
      <c r="I113" s="42">
        <f>SUM(I109:I112)</f>
        <v>142.5</v>
      </c>
      <c r="J113" s="82"/>
      <c r="K113" s="136"/>
      <c r="L113" s="136"/>
      <c r="M113" s="136"/>
      <c r="N113" s="86"/>
    </row>
    <row r="114" spans="1:14" x14ac:dyDescent="0.2">
      <c r="A114" s="70"/>
      <c r="B114" s="70"/>
      <c r="C114" s="70"/>
      <c r="D114" s="70"/>
      <c r="E114" s="70"/>
      <c r="F114" s="70"/>
      <c r="G114" s="70"/>
      <c r="H114" s="76"/>
      <c r="I114" s="71"/>
      <c r="J114" s="3"/>
      <c r="K114" s="49"/>
      <c r="L114" s="49"/>
      <c r="M114" s="49"/>
    </row>
    <row r="115" spans="1:14" ht="48" customHeight="1" x14ac:dyDescent="0.2">
      <c r="A115" s="93" t="s">
        <v>245</v>
      </c>
      <c r="B115" s="93"/>
      <c r="C115" s="93"/>
      <c r="D115" s="93"/>
      <c r="E115" s="93"/>
      <c r="F115" s="93"/>
      <c r="G115" s="93"/>
      <c r="H115" s="93"/>
      <c r="I115" s="93"/>
      <c r="J115" s="93"/>
      <c r="K115" s="93"/>
      <c r="L115" s="93"/>
      <c r="M115" s="93"/>
      <c r="N115" s="93"/>
    </row>
    <row r="116" spans="1:14" x14ac:dyDescent="0.2">
      <c r="A116" s="119"/>
      <c r="B116" s="120"/>
      <c r="C116" s="120"/>
      <c r="D116" s="120"/>
      <c r="E116" s="120"/>
      <c r="F116" s="120"/>
      <c r="G116" s="120"/>
      <c r="H116" s="120"/>
      <c r="I116" s="120"/>
      <c r="J116" s="3"/>
      <c r="K116" s="117"/>
      <c r="L116" s="117"/>
      <c r="M116" s="117"/>
    </row>
    <row r="117" spans="1:14" ht="15" customHeight="1" x14ac:dyDescent="0.2">
      <c r="A117" s="130" t="s">
        <v>77</v>
      </c>
      <c r="B117" s="130"/>
      <c r="C117" s="130"/>
      <c r="D117" s="130"/>
      <c r="E117" s="130"/>
      <c r="F117" s="130"/>
      <c r="G117" s="130"/>
      <c r="H117" s="130"/>
      <c r="I117" s="130"/>
      <c r="J117" s="130"/>
      <c r="K117" s="130"/>
      <c r="L117" s="130"/>
      <c r="M117" s="130"/>
      <c r="N117" s="130"/>
    </row>
    <row r="118" spans="1:14" ht="24" x14ac:dyDescent="0.2">
      <c r="A118" s="40">
        <v>6</v>
      </c>
      <c r="B118" s="97" t="s">
        <v>19</v>
      </c>
      <c r="C118" s="97"/>
      <c r="D118" s="97"/>
      <c r="E118" s="97"/>
      <c r="F118" s="97"/>
      <c r="G118" s="97"/>
      <c r="H118" s="40" t="s">
        <v>3</v>
      </c>
      <c r="I118" s="40" t="s">
        <v>1</v>
      </c>
      <c r="J118" s="83" t="s">
        <v>125</v>
      </c>
      <c r="K118" s="134" t="s">
        <v>136</v>
      </c>
      <c r="L118" s="134"/>
      <c r="M118" s="134"/>
      <c r="N118" s="40" t="s">
        <v>254</v>
      </c>
    </row>
    <row r="119" spans="1:14" x14ac:dyDescent="0.2">
      <c r="A119" s="9" t="s">
        <v>6</v>
      </c>
      <c r="B119" s="96" t="s">
        <v>22</v>
      </c>
      <c r="C119" s="96"/>
      <c r="D119" s="96"/>
      <c r="E119" s="96"/>
      <c r="F119" s="96"/>
      <c r="G119" s="96"/>
      <c r="H119" s="13">
        <v>0.05</v>
      </c>
      <c r="I119" s="10">
        <f>ROUND(H119*I146,2)</f>
        <v>292.86</v>
      </c>
      <c r="J119" s="84"/>
      <c r="K119" s="135"/>
      <c r="L119" s="135"/>
      <c r="M119" s="135"/>
      <c r="N119" s="85" t="s">
        <v>257</v>
      </c>
    </row>
    <row r="120" spans="1:14" x14ac:dyDescent="0.2">
      <c r="A120" s="9" t="s">
        <v>7</v>
      </c>
      <c r="B120" s="96" t="s">
        <v>5</v>
      </c>
      <c r="C120" s="96"/>
      <c r="D120" s="96"/>
      <c r="E120" s="96"/>
      <c r="F120" s="96"/>
      <c r="G120" s="96"/>
      <c r="H120" s="13">
        <v>8.3799999999999999E-2</v>
      </c>
      <c r="I120" s="10">
        <f>ROUND(H120*(I119+I146),2)</f>
        <v>515.38</v>
      </c>
      <c r="J120" s="84"/>
      <c r="K120" s="135"/>
      <c r="L120" s="135"/>
      <c r="M120" s="135"/>
      <c r="N120" s="85" t="s">
        <v>257</v>
      </c>
    </row>
    <row r="121" spans="1:14" x14ac:dyDescent="0.2">
      <c r="A121" s="9" t="s">
        <v>8</v>
      </c>
      <c r="B121" s="110" t="s">
        <v>26</v>
      </c>
      <c r="C121" s="110"/>
      <c r="D121" s="110"/>
      <c r="E121" s="110"/>
      <c r="F121" s="110"/>
      <c r="G121" s="110"/>
      <c r="H121" s="11"/>
      <c r="I121" s="21"/>
      <c r="J121" s="84"/>
      <c r="K121" s="135"/>
      <c r="L121" s="135"/>
      <c r="M121" s="135"/>
      <c r="N121" s="85"/>
    </row>
    <row r="122" spans="1:14" x14ac:dyDescent="0.2">
      <c r="A122" s="9" t="s">
        <v>27</v>
      </c>
      <c r="B122" s="96" t="s">
        <v>91</v>
      </c>
      <c r="C122" s="96"/>
      <c r="D122" s="96"/>
      <c r="E122" s="96"/>
      <c r="F122" s="96"/>
      <c r="G122" s="96"/>
      <c r="H122" s="11">
        <v>6.4999999999999997E-3</v>
      </c>
      <c r="I122" s="10">
        <f>ROUND(H122*I135,2)</f>
        <v>47.43</v>
      </c>
      <c r="J122" s="84"/>
      <c r="K122" s="135"/>
      <c r="L122" s="135"/>
      <c r="M122" s="135"/>
      <c r="N122" s="85" t="s">
        <v>257</v>
      </c>
    </row>
    <row r="123" spans="1:14" x14ac:dyDescent="0.2">
      <c r="A123" s="9" t="s">
        <v>28</v>
      </c>
      <c r="B123" s="96" t="s">
        <v>92</v>
      </c>
      <c r="C123" s="96"/>
      <c r="D123" s="96"/>
      <c r="E123" s="96"/>
      <c r="F123" s="96"/>
      <c r="G123" s="96"/>
      <c r="H123" s="11">
        <v>0.03</v>
      </c>
      <c r="I123" s="10">
        <f>ROUND(H123*I135,2)</f>
        <v>218.9</v>
      </c>
      <c r="J123" s="84"/>
      <c r="K123" s="135"/>
      <c r="L123" s="135"/>
      <c r="M123" s="135"/>
      <c r="N123" s="85" t="s">
        <v>257</v>
      </c>
    </row>
    <row r="124" spans="1:14" ht="54" customHeight="1" x14ac:dyDescent="0.2">
      <c r="A124" s="9" t="s">
        <v>29</v>
      </c>
      <c r="B124" s="96" t="s">
        <v>93</v>
      </c>
      <c r="C124" s="96"/>
      <c r="D124" s="96"/>
      <c r="E124" s="96"/>
      <c r="F124" s="96"/>
      <c r="G124" s="96"/>
      <c r="H124" s="11">
        <v>0.05</v>
      </c>
      <c r="I124" s="10">
        <f>ROUND(H124*I135,2)</f>
        <v>364.83</v>
      </c>
      <c r="J124" s="25" t="s">
        <v>263</v>
      </c>
      <c r="K124" s="135"/>
      <c r="L124" s="135"/>
      <c r="M124" s="135"/>
      <c r="N124" s="85" t="s">
        <v>255</v>
      </c>
    </row>
    <row r="125" spans="1:14" x14ac:dyDescent="0.2">
      <c r="A125" s="9" t="s">
        <v>169</v>
      </c>
      <c r="B125" s="96" t="s">
        <v>170</v>
      </c>
      <c r="C125" s="96"/>
      <c r="D125" s="96"/>
      <c r="E125" s="96"/>
      <c r="F125" s="96"/>
      <c r="G125" s="96"/>
      <c r="H125" s="11"/>
      <c r="I125" s="10"/>
      <c r="J125" s="84"/>
      <c r="K125" s="141"/>
      <c r="L125" s="142"/>
      <c r="M125" s="143"/>
      <c r="N125" s="85"/>
    </row>
    <row r="126" spans="1:14" x14ac:dyDescent="0.2">
      <c r="A126" s="105" t="s">
        <v>78</v>
      </c>
      <c r="B126" s="105"/>
      <c r="C126" s="105"/>
      <c r="D126" s="105"/>
      <c r="E126" s="105"/>
      <c r="F126" s="105"/>
      <c r="G126" s="105"/>
      <c r="H126" s="46">
        <f>SUM(H119:H125)</f>
        <v>0.2203</v>
      </c>
      <c r="I126" s="42">
        <f>ROUND(SUM(I119:I124),2)</f>
        <v>1439.4</v>
      </c>
      <c r="J126" s="82"/>
      <c r="K126" s="136"/>
      <c r="L126" s="136"/>
      <c r="M126" s="136"/>
      <c r="N126" s="87"/>
    </row>
    <row r="127" spans="1:14" x14ac:dyDescent="0.2">
      <c r="A127" s="70"/>
      <c r="B127" s="70"/>
      <c r="C127" s="70"/>
      <c r="D127" s="70"/>
      <c r="E127" s="70"/>
      <c r="F127" s="70"/>
      <c r="G127" s="70"/>
      <c r="H127" s="77"/>
      <c r="I127" s="71"/>
      <c r="J127" s="3"/>
      <c r="K127" s="49"/>
      <c r="L127" s="49"/>
      <c r="M127" s="49"/>
    </row>
    <row r="128" spans="1:14" ht="127.5" customHeight="1" x14ac:dyDescent="0.2">
      <c r="A128" s="93" t="s">
        <v>246</v>
      </c>
      <c r="B128" s="93"/>
      <c r="C128" s="93"/>
      <c r="D128" s="93"/>
      <c r="E128" s="93"/>
      <c r="F128" s="93"/>
      <c r="G128" s="93"/>
      <c r="H128" s="93"/>
      <c r="I128" s="93"/>
      <c r="J128" s="93"/>
      <c r="K128" s="93"/>
      <c r="L128" s="93"/>
      <c r="M128" s="93"/>
      <c r="N128" s="93"/>
    </row>
    <row r="129" spans="1:13" x14ac:dyDescent="0.2">
      <c r="A129" s="5"/>
      <c r="B129" s="137"/>
      <c r="C129" s="137"/>
      <c r="D129" s="137"/>
      <c r="E129" s="137"/>
      <c r="F129" s="137"/>
      <c r="G129" s="137"/>
      <c r="H129" s="137"/>
      <c r="I129" s="137"/>
      <c r="J129" s="3"/>
      <c r="K129" s="117"/>
      <c r="L129" s="117"/>
      <c r="M129" s="117"/>
    </row>
    <row r="130" spans="1:13" x14ac:dyDescent="0.2">
      <c r="A130" s="27" t="s">
        <v>30</v>
      </c>
      <c r="B130" s="140" t="s">
        <v>31</v>
      </c>
      <c r="C130" s="140"/>
      <c r="D130" s="140"/>
      <c r="E130" s="140"/>
      <c r="F130" s="140"/>
      <c r="G130" s="140"/>
      <c r="H130" s="28">
        <f>ROUND(H122+H123+H124,4)</f>
        <v>8.6499999999999994E-2</v>
      </c>
      <c r="I130" s="29"/>
      <c r="J130" s="3"/>
      <c r="K130" s="117"/>
      <c r="L130" s="117"/>
      <c r="M130" s="117"/>
    </row>
    <row r="131" spans="1:13" x14ac:dyDescent="0.2">
      <c r="A131" s="30"/>
      <c r="B131" s="138">
        <v>100</v>
      </c>
      <c r="C131" s="138"/>
      <c r="D131" s="138"/>
      <c r="E131" s="138"/>
      <c r="F131" s="138"/>
      <c r="G131" s="138"/>
      <c r="H131" s="32"/>
      <c r="I131" s="33"/>
      <c r="J131" s="3"/>
      <c r="K131" s="117"/>
      <c r="L131" s="117"/>
      <c r="M131" s="117"/>
    </row>
    <row r="132" spans="1:13" x14ac:dyDescent="0.2">
      <c r="A132" s="34"/>
      <c r="B132" s="31"/>
      <c r="C132" s="31"/>
      <c r="D132" s="31"/>
      <c r="E132" s="31"/>
      <c r="F132" s="31"/>
      <c r="G132" s="31"/>
      <c r="H132" s="32"/>
      <c r="I132" s="33"/>
      <c r="J132" s="3"/>
      <c r="K132" s="117"/>
      <c r="L132" s="117"/>
      <c r="M132" s="117"/>
    </row>
    <row r="133" spans="1:13" x14ac:dyDescent="0.2">
      <c r="A133" s="30" t="s">
        <v>32</v>
      </c>
      <c r="B133" s="138" t="s">
        <v>79</v>
      </c>
      <c r="C133" s="138"/>
      <c r="D133" s="138"/>
      <c r="E133" s="138"/>
      <c r="F133" s="138"/>
      <c r="G133" s="138"/>
      <c r="H133" s="32"/>
      <c r="I133" s="33">
        <f>ROUND(I146+I119+I120,2)</f>
        <v>6665.48</v>
      </c>
      <c r="J133" s="3"/>
      <c r="K133" s="117"/>
      <c r="L133" s="117"/>
      <c r="M133" s="117"/>
    </row>
    <row r="134" spans="1:13" x14ac:dyDescent="0.2">
      <c r="A134" s="30"/>
      <c r="B134" s="31"/>
      <c r="C134" s="31"/>
      <c r="D134" s="31"/>
      <c r="E134" s="31"/>
      <c r="F134" s="31"/>
      <c r="G134" s="31"/>
      <c r="H134" s="32"/>
      <c r="I134" s="33"/>
      <c r="J134" s="3"/>
      <c r="K134" s="117"/>
      <c r="L134" s="117"/>
      <c r="M134" s="117"/>
    </row>
    <row r="135" spans="1:13" x14ac:dyDescent="0.2">
      <c r="A135" s="30" t="s">
        <v>33</v>
      </c>
      <c r="B135" s="138" t="s">
        <v>34</v>
      </c>
      <c r="C135" s="138"/>
      <c r="D135" s="138"/>
      <c r="E135" s="138"/>
      <c r="F135" s="138"/>
      <c r="G135" s="138"/>
      <c r="H135" s="32"/>
      <c r="I135" s="33">
        <f>I133/(1-H130)</f>
        <v>7296.6392993979198</v>
      </c>
      <c r="J135" s="3"/>
      <c r="K135" s="117"/>
      <c r="L135" s="117"/>
      <c r="M135" s="117"/>
    </row>
    <row r="136" spans="1:13" x14ac:dyDescent="0.2">
      <c r="A136" s="30"/>
      <c r="B136" s="31"/>
      <c r="C136" s="31"/>
      <c r="D136" s="31"/>
      <c r="E136" s="31"/>
      <c r="F136" s="31"/>
      <c r="G136" s="31"/>
      <c r="H136" s="32"/>
      <c r="I136" s="33"/>
      <c r="J136" s="3"/>
      <c r="K136" s="117"/>
      <c r="L136" s="117"/>
      <c r="M136" s="117"/>
    </row>
    <row r="137" spans="1:13" x14ac:dyDescent="0.2">
      <c r="A137" s="35"/>
      <c r="B137" s="139" t="s">
        <v>35</v>
      </c>
      <c r="C137" s="139"/>
      <c r="D137" s="139"/>
      <c r="E137" s="139"/>
      <c r="F137" s="139"/>
      <c r="G137" s="139"/>
      <c r="H137" s="36"/>
      <c r="I137" s="37">
        <f>ROUND(I135-I133,2)</f>
        <v>631.16</v>
      </c>
      <c r="J137" s="3"/>
      <c r="K137" s="117"/>
      <c r="L137" s="117"/>
      <c r="M137" s="117"/>
    </row>
    <row r="138" spans="1:13" x14ac:dyDescent="0.2">
      <c r="A138" s="5"/>
      <c r="B138" s="2"/>
      <c r="C138" s="2"/>
      <c r="D138" s="2"/>
      <c r="E138" s="2"/>
      <c r="F138" s="2"/>
      <c r="G138" s="2"/>
      <c r="H138" s="5"/>
      <c r="I138" s="7"/>
      <c r="J138" s="3"/>
      <c r="K138" s="117"/>
      <c r="L138" s="117"/>
      <c r="M138" s="117"/>
    </row>
    <row r="139" spans="1:13" ht="15" customHeight="1" x14ac:dyDescent="0.2">
      <c r="A139" s="97" t="s">
        <v>80</v>
      </c>
      <c r="B139" s="97"/>
      <c r="C139" s="97"/>
      <c r="D139" s="97"/>
      <c r="E139" s="97"/>
      <c r="F139" s="97"/>
      <c r="G139" s="97"/>
      <c r="H139" s="97"/>
      <c r="I139" s="97"/>
      <c r="J139" s="3"/>
      <c r="K139" s="117"/>
      <c r="L139" s="117"/>
      <c r="M139" s="117"/>
    </row>
    <row r="140" spans="1:13" ht="24.75" customHeight="1" x14ac:dyDescent="0.2">
      <c r="A140" s="97" t="s">
        <v>23</v>
      </c>
      <c r="B140" s="97"/>
      <c r="C140" s="97"/>
      <c r="D140" s="97"/>
      <c r="E140" s="97"/>
      <c r="F140" s="97"/>
      <c r="G140" s="97"/>
      <c r="H140" s="97"/>
      <c r="I140" s="40" t="s">
        <v>1</v>
      </c>
      <c r="J140" s="3"/>
      <c r="K140" s="117"/>
      <c r="L140" s="117"/>
      <c r="M140" s="117"/>
    </row>
    <row r="141" spans="1:13" x14ac:dyDescent="0.2">
      <c r="A141" s="16" t="s">
        <v>6</v>
      </c>
      <c r="B141" s="96" t="str">
        <f>A19</f>
        <v>MÓDULO 1 - COMPOSIÇÃO DA REMUNERAÇÃO</v>
      </c>
      <c r="C141" s="96"/>
      <c r="D141" s="96"/>
      <c r="E141" s="96"/>
      <c r="F141" s="96"/>
      <c r="G141" s="96"/>
      <c r="H141" s="96"/>
      <c r="I141" s="17">
        <f>I27</f>
        <v>2494.7600000000002</v>
      </c>
      <c r="J141" s="3"/>
      <c r="K141" s="117"/>
      <c r="L141" s="117"/>
      <c r="M141" s="117"/>
    </row>
    <row r="142" spans="1:13" x14ac:dyDescent="0.2">
      <c r="A142" s="16" t="s">
        <v>7</v>
      </c>
      <c r="B142" s="96" t="str">
        <f>A29</f>
        <v>MÓDULO 2 – ENCARGOS E BENEFÍCIOS ANUAIS, MENSAIS E DIÁRIOS</v>
      </c>
      <c r="C142" s="96"/>
      <c r="D142" s="96"/>
      <c r="E142" s="96"/>
      <c r="F142" s="96"/>
      <c r="G142" s="96"/>
      <c r="H142" s="96"/>
      <c r="I142" s="17">
        <f>I71</f>
        <v>2853.45</v>
      </c>
      <c r="J142" s="3"/>
      <c r="K142" s="117"/>
      <c r="L142" s="117"/>
      <c r="M142" s="117"/>
    </row>
    <row r="143" spans="1:13" x14ac:dyDescent="0.2">
      <c r="A143" s="16" t="s">
        <v>8</v>
      </c>
      <c r="B143" s="96" t="str">
        <f>A73</f>
        <v>MÓDULO 3 – PROVISÃO PARA RESCISÃO</v>
      </c>
      <c r="C143" s="96"/>
      <c r="D143" s="96"/>
      <c r="E143" s="96"/>
      <c r="F143" s="96"/>
      <c r="G143" s="96"/>
      <c r="H143" s="96"/>
      <c r="I143" s="17">
        <f>I83</f>
        <v>222.96</v>
      </c>
      <c r="J143" s="3"/>
      <c r="K143" s="117"/>
      <c r="L143" s="117"/>
      <c r="M143" s="117"/>
    </row>
    <row r="144" spans="1:13" x14ac:dyDescent="0.2">
      <c r="A144" s="16" t="s">
        <v>9</v>
      </c>
      <c r="B144" s="96" t="str">
        <f>A87</f>
        <v>MÓDULO 4 – CUSTO DE REPOSIÇÃO DO PROFISSIONAL AUSENTE</v>
      </c>
      <c r="C144" s="96"/>
      <c r="D144" s="96"/>
      <c r="E144" s="96"/>
      <c r="F144" s="96"/>
      <c r="G144" s="96"/>
      <c r="H144" s="96"/>
      <c r="I144" s="17">
        <f>I105</f>
        <v>143.57</v>
      </c>
      <c r="J144" s="3"/>
      <c r="K144" s="117"/>
      <c r="L144" s="117"/>
      <c r="M144" s="117"/>
    </row>
    <row r="145" spans="1:13" x14ac:dyDescent="0.2">
      <c r="A145" s="16" t="s">
        <v>10</v>
      </c>
      <c r="B145" s="96" t="str">
        <f>A107</f>
        <v>MÓDULO 5 – INSUMOS DIVERSOS</v>
      </c>
      <c r="C145" s="96"/>
      <c r="D145" s="96"/>
      <c r="E145" s="96"/>
      <c r="F145" s="96"/>
      <c r="G145" s="96"/>
      <c r="H145" s="96"/>
      <c r="I145" s="17">
        <f>I113</f>
        <v>142.5</v>
      </c>
      <c r="J145" s="3"/>
      <c r="K145" s="117"/>
      <c r="L145" s="117"/>
      <c r="M145" s="117"/>
    </row>
    <row r="146" spans="1:13" x14ac:dyDescent="0.2">
      <c r="A146" s="41"/>
      <c r="B146" s="105" t="s">
        <v>81</v>
      </c>
      <c r="C146" s="105"/>
      <c r="D146" s="105"/>
      <c r="E146" s="105"/>
      <c r="F146" s="105"/>
      <c r="G146" s="105"/>
      <c r="H146" s="105"/>
      <c r="I146" s="48">
        <f>TRUNC(SUM(I141:I145),2)</f>
        <v>5857.24</v>
      </c>
      <c r="J146" s="3"/>
      <c r="K146" s="117"/>
      <c r="L146" s="117"/>
      <c r="M146" s="117"/>
    </row>
    <row r="147" spans="1:13" ht="24" customHeight="1" x14ac:dyDescent="0.2">
      <c r="A147" s="16" t="s">
        <v>11</v>
      </c>
      <c r="B147" s="96" t="str">
        <f>A117</f>
        <v>MÓDULO 6 – CUSTOS INDIRETOS, TRIBUTOS E LUCRO</v>
      </c>
      <c r="C147" s="96"/>
      <c r="D147" s="96"/>
      <c r="E147" s="96"/>
      <c r="F147" s="96"/>
      <c r="G147" s="96"/>
      <c r="H147" s="96"/>
      <c r="I147" s="17">
        <f>I126</f>
        <v>1439.4</v>
      </c>
      <c r="J147" s="3"/>
      <c r="K147" s="117"/>
      <c r="L147" s="117"/>
      <c r="M147" s="117"/>
    </row>
    <row r="148" spans="1:13" ht="15" customHeight="1" x14ac:dyDescent="0.2">
      <c r="A148" s="105" t="s">
        <v>207</v>
      </c>
      <c r="B148" s="105"/>
      <c r="C148" s="105"/>
      <c r="D148" s="105"/>
      <c r="E148" s="105"/>
      <c r="F148" s="105"/>
      <c r="G148" s="105"/>
      <c r="H148" s="105"/>
      <c r="I148" s="68">
        <f>ROUND(SUM(I146:I147),2)</f>
        <v>7296.64</v>
      </c>
      <c r="J148" s="3"/>
      <c r="K148" s="117"/>
      <c r="L148" s="117"/>
      <c r="M148" s="117"/>
    </row>
    <row r="149" spans="1:13" x14ac:dyDescent="0.2">
      <c r="A149" s="105" t="s">
        <v>269</v>
      </c>
      <c r="B149" s="105"/>
      <c r="C149" s="105"/>
      <c r="D149" s="105"/>
      <c r="E149" s="105"/>
      <c r="F149" s="105"/>
      <c r="G149" s="105"/>
      <c r="H149" s="105"/>
      <c r="I149" s="68">
        <f>I148*K6*K5</f>
        <v>14593.28</v>
      </c>
      <c r="J149" s="3"/>
      <c r="K149" s="117"/>
      <c r="L149" s="117"/>
      <c r="M149" s="117"/>
    </row>
    <row r="150" spans="1:13" x14ac:dyDescent="0.2">
      <c r="A150" s="105" t="s">
        <v>208</v>
      </c>
      <c r="B150" s="105"/>
      <c r="C150" s="105"/>
      <c r="D150" s="105"/>
      <c r="E150" s="105"/>
      <c r="F150" s="105"/>
      <c r="G150" s="105"/>
      <c r="H150" s="105"/>
      <c r="I150" s="68">
        <f>I149*12</f>
        <v>175119.36000000002</v>
      </c>
      <c r="J150" s="3"/>
      <c r="K150" s="49"/>
      <c r="L150" s="49"/>
      <c r="M150" s="49"/>
    </row>
  </sheetData>
  <mergeCells count="263">
    <mergeCell ref="K12:M12"/>
    <mergeCell ref="K13:M13"/>
    <mergeCell ref="K14:M14"/>
    <mergeCell ref="K15:M15"/>
    <mergeCell ref="K16:M16"/>
    <mergeCell ref="A4:J4"/>
    <mergeCell ref="A5:J5"/>
    <mergeCell ref="A6:J6"/>
    <mergeCell ref="A7:J7"/>
    <mergeCell ref="A8:J8"/>
    <mergeCell ref="A9:J9"/>
    <mergeCell ref="A10:J10"/>
    <mergeCell ref="A11:J11"/>
    <mergeCell ref="A12:J12"/>
    <mergeCell ref="A13:J13"/>
    <mergeCell ref="A14:J14"/>
    <mergeCell ref="A15:J15"/>
    <mergeCell ref="A16:J16"/>
    <mergeCell ref="A3:M3"/>
    <mergeCell ref="K4:M4"/>
    <mergeCell ref="K5:M5"/>
    <mergeCell ref="K6:M6"/>
    <mergeCell ref="K7:M7"/>
    <mergeCell ref="K8:M8"/>
    <mergeCell ref="K9:M9"/>
    <mergeCell ref="K10:M10"/>
    <mergeCell ref="K11:M11"/>
    <mergeCell ref="A150:H150"/>
    <mergeCell ref="A148:H148"/>
    <mergeCell ref="K131:M131"/>
    <mergeCell ref="K132:M132"/>
    <mergeCell ref="K133:M133"/>
    <mergeCell ref="K134:M134"/>
    <mergeCell ref="K135:M135"/>
    <mergeCell ref="K136:M136"/>
    <mergeCell ref="A149:H149"/>
    <mergeCell ref="K146:M146"/>
    <mergeCell ref="K147:M147"/>
    <mergeCell ref="K148:M148"/>
    <mergeCell ref="K149:M149"/>
    <mergeCell ref="K137:M137"/>
    <mergeCell ref="K138:M138"/>
    <mergeCell ref="K139:M139"/>
    <mergeCell ref="K140:M140"/>
    <mergeCell ref="K141:M141"/>
    <mergeCell ref="K142:M142"/>
    <mergeCell ref="K143:M143"/>
    <mergeCell ref="K144:M144"/>
    <mergeCell ref="K145:M145"/>
    <mergeCell ref="B143:H143"/>
    <mergeCell ref="A139:I139"/>
    <mergeCell ref="B144:H144"/>
    <mergeCell ref="B147:H147"/>
    <mergeCell ref="K119:M119"/>
    <mergeCell ref="K120:M120"/>
    <mergeCell ref="K121:M121"/>
    <mergeCell ref="K122:M122"/>
    <mergeCell ref="K123:M123"/>
    <mergeCell ref="K124:M124"/>
    <mergeCell ref="K126:M126"/>
    <mergeCell ref="K129:M129"/>
    <mergeCell ref="K130:M130"/>
    <mergeCell ref="A140:H140"/>
    <mergeCell ref="B145:H145"/>
    <mergeCell ref="B146:H146"/>
    <mergeCell ref="B129:I129"/>
    <mergeCell ref="B141:H141"/>
    <mergeCell ref="B142:H142"/>
    <mergeCell ref="B131:G131"/>
    <mergeCell ref="B135:G135"/>
    <mergeCell ref="B137:G137"/>
    <mergeCell ref="B133:G133"/>
    <mergeCell ref="B130:G130"/>
    <mergeCell ref="B119:G119"/>
    <mergeCell ref="K125:M125"/>
    <mergeCell ref="K116:M116"/>
    <mergeCell ref="K118:M118"/>
    <mergeCell ref="B118:G118"/>
    <mergeCell ref="B108:G108"/>
    <mergeCell ref="B111:G111"/>
    <mergeCell ref="B109:G109"/>
    <mergeCell ref="A113:G113"/>
    <mergeCell ref="A116:I116"/>
    <mergeCell ref="B112:G112"/>
    <mergeCell ref="B110:G110"/>
    <mergeCell ref="K99:M99"/>
    <mergeCell ref="K100:M100"/>
    <mergeCell ref="K101:M101"/>
    <mergeCell ref="K102:M102"/>
    <mergeCell ref="K103:M103"/>
    <mergeCell ref="K104:M104"/>
    <mergeCell ref="K105:M105"/>
    <mergeCell ref="K106:M106"/>
    <mergeCell ref="B124:G124"/>
    <mergeCell ref="B122:G122"/>
    <mergeCell ref="B123:G123"/>
    <mergeCell ref="B103:H103"/>
    <mergeCell ref="B104:H104"/>
    <mergeCell ref="A99:I99"/>
    <mergeCell ref="A115:N115"/>
    <mergeCell ref="A107:N107"/>
    <mergeCell ref="N109:N112"/>
    <mergeCell ref="A117:N117"/>
    <mergeCell ref="K108:M108"/>
    <mergeCell ref="K109:M109"/>
    <mergeCell ref="K110:M110"/>
    <mergeCell ref="K111:M111"/>
    <mergeCell ref="K112:M112"/>
    <mergeCell ref="K113:M113"/>
    <mergeCell ref="K91:M91"/>
    <mergeCell ref="K92:M92"/>
    <mergeCell ref="K96:M96"/>
    <mergeCell ref="K97:M97"/>
    <mergeCell ref="K98:M98"/>
    <mergeCell ref="K80:M80"/>
    <mergeCell ref="K81:M81"/>
    <mergeCell ref="K82:M82"/>
    <mergeCell ref="K83:M83"/>
    <mergeCell ref="K86:M86"/>
    <mergeCell ref="K88:M88"/>
    <mergeCell ref="K89:M89"/>
    <mergeCell ref="K90:M90"/>
    <mergeCell ref="K70:M70"/>
    <mergeCell ref="K71:M71"/>
    <mergeCell ref="K72:M72"/>
    <mergeCell ref="K74:M74"/>
    <mergeCell ref="K75:M75"/>
    <mergeCell ref="K76:M76"/>
    <mergeCell ref="K77:M77"/>
    <mergeCell ref="K78:M78"/>
    <mergeCell ref="K79:M79"/>
    <mergeCell ref="K67:M67"/>
    <mergeCell ref="K68:M68"/>
    <mergeCell ref="K69:M69"/>
    <mergeCell ref="K51:M51"/>
    <mergeCell ref="K52:M52"/>
    <mergeCell ref="K53:M53"/>
    <mergeCell ref="K54:M54"/>
    <mergeCell ref="K55:M55"/>
    <mergeCell ref="K56:M56"/>
    <mergeCell ref="K57:M57"/>
    <mergeCell ref="K58:M58"/>
    <mergeCell ref="K59:M59"/>
    <mergeCell ref="K45:M45"/>
    <mergeCell ref="K48:M48"/>
    <mergeCell ref="K49:M49"/>
    <mergeCell ref="K50:M50"/>
    <mergeCell ref="K60:M60"/>
    <mergeCell ref="K61:M61"/>
    <mergeCell ref="K64:M64"/>
    <mergeCell ref="K65:M65"/>
    <mergeCell ref="K66:M66"/>
    <mergeCell ref="A96:G96"/>
    <mergeCell ref="B97:G97"/>
    <mergeCell ref="B81:G81"/>
    <mergeCell ref="B22:G22"/>
    <mergeCell ref="B23:G23"/>
    <mergeCell ref="A35:I35"/>
    <mergeCell ref="B38:G38"/>
    <mergeCell ref="B26:G26"/>
    <mergeCell ref="A27:H27"/>
    <mergeCell ref="B33:G33"/>
    <mergeCell ref="A36:G36"/>
    <mergeCell ref="B37:G37"/>
    <mergeCell ref="A30:G30"/>
    <mergeCell ref="B76:G76"/>
    <mergeCell ref="B90:G90"/>
    <mergeCell ref="A86:I86"/>
    <mergeCell ref="A72:I72"/>
    <mergeCell ref="B80:G80"/>
    <mergeCell ref="B82:G82"/>
    <mergeCell ref="A83:H83"/>
    <mergeCell ref="B77:G77"/>
    <mergeCell ref="B91:G91"/>
    <mergeCell ref="B74:G74"/>
    <mergeCell ref="B75:G75"/>
    <mergeCell ref="K20:M20"/>
    <mergeCell ref="K21:M21"/>
    <mergeCell ref="K22:M22"/>
    <mergeCell ref="K23:M23"/>
    <mergeCell ref="K24:M24"/>
    <mergeCell ref="K25:M25"/>
    <mergeCell ref="K26:M26"/>
    <mergeCell ref="K27:M27"/>
    <mergeCell ref="B54:G54"/>
    <mergeCell ref="K28:M28"/>
    <mergeCell ref="K30:M30"/>
    <mergeCell ref="K31:M31"/>
    <mergeCell ref="K32:M32"/>
    <mergeCell ref="K33:M33"/>
    <mergeCell ref="K34:M34"/>
    <mergeCell ref="K35:M35"/>
    <mergeCell ref="K36:M36"/>
    <mergeCell ref="K37:M37"/>
    <mergeCell ref="K38:M38"/>
    <mergeCell ref="K40:M40"/>
    <mergeCell ref="K41:M41"/>
    <mergeCell ref="K42:M42"/>
    <mergeCell ref="K43:M43"/>
    <mergeCell ref="K44:M44"/>
    <mergeCell ref="A18:I18"/>
    <mergeCell ref="A48:I48"/>
    <mergeCell ref="B31:G31"/>
    <mergeCell ref="B32:G32"/>
    <mergeCell ref="A34:G34"/>
    <mergeCell ref="B39:G39"/>
    <mergeCell ref="B41:G41"/>
    <mergeCell ref="B43:G43"/>
    <mergeCell ref="B44:G44"/>
    <mergeCell ref="B42:G42"/>
    <mergeCell ref="A45:G45"/>
    <mergeCell ref="B20:G20"/>
    <mergeCell ref="B21:G21"/>
    <mergeCell ref="B25:G25"/>
    <mergeCell ref="B24:G24"/>
    <mergeCell ref="A71:H71"/>
    <mergeCell ref="B53:G53"/>
    <mergeCell ref="A128:N128"/>
    <mergeCell ref="B40:G40"/>
    <mergeCell ref="B125:G125"/>
    <mergeCell ref="A126:G126"/>
    <mergeCell ref="A98:G98"/>
    <mergeCell ref="A100:I100"/>
    <mergeCell ref="B102:H102"/>
    <mergeCell ref="A88:G88"/>
    <mergeCell ref="B120:G120"/>
    <mergeCell ref="B121:G121"/>
    <mergeCell ref="B89:G89"/>
    <mergeCell ref="A105:H105"/>
    <mergeCell ref="A106:I106"/>
    <mergeCell ref="B68:H68"/>
    <mergeCell ref="A65:I65"/>
    <mergeCell ref="B50:G50"/>
    <mergeCell ref="B52:G52"/>
    <mergeCell ref="B56:G56"/>
    <mergeCell ref="B78:G78"/>
    <mergeCell ref="A66:H66"/>
    <mergeCell ref="B67:H67"/>
    <mergeCell ref="A101:H101"/>
    <mergeCell ref="A92:H92"/>
    <mergeCell ref="A1:N1"/>
    <mergeCell ref="A19:N19"/>
    <mergeCell ref="A29:N29"/>
    <mergeCell ref="A73:N73"/>
    <mergeCell ref="A87:N87"/>
    <mergeCell ref="A94:N94"/>
    <mergeCell ref="A85:N85"/>
    <mergeCell ref="A47:N47"/>
    <mergeCell ref="A63:N63"/>
    <mergeCell ref="A17:J17"/>
    <mergeCell ref="K17:M17"/>
    <mergeCell ref="B79:G79"/>
    <mergeCell ref="A49:G49"/>
    <mergeCell ref="B51:G51"/>
    <mergeCell ref="B57:G57"/>
    <mergeCell ref="B58:G58"/>
    <mergeCell ref="B59:G59"/>
    <mergeCell ref="B55:G55"/>
    <mergeCell ref="B69:H69"/>
    <mergeCell ref="B60:G60"/>
    <mergeCell ref="A61:H61"/>
    <mergeCell ref="A64:I64"/>
    <mergeCell ref="B70:H70"/>
  </mergeCells>
  <phoneticPr fontId="3" type="noConversion"/>
  <pageMargins left="0.78740157480314965" right="0.39370078740157483" top="0.59055118110236227" bottom="0.39370078740157483" header="0.15748031496062992" footer="0.15748031496062992"/>
  <pageSetup paperSize="9" scale="90" firstPageNumber="0" fitToHeight="0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63F04-3A24-42ED-895C-9B918C37BC23}">
  <sheetPr>
    <tabColor theme="0" tint="-0.249977111117893"/>
  </sheetPr>
  <dimension ref="A1:B13"/>
  <sheetViews>
    <sheetView zoomScale="130" zoomScaleNormal="130" workbookViewId="0">
      <selection activeCell="A8" sqref="A8:B8"/>
    </sheetView>
  </sheetViews>
  <sheetFormatPr defaultRowHeight="12.75" x14ac:dyDescent="0.2"/>
  <cols>
    <col min="1" max="1" width="37.85546875" customWidth="1"/>
    <col min="2" max="2" width="20" customWidth="1"/>
  </cols>
  <sheetData>
    <row r="1" spans="1:2" ht="30" customHeight="1" x14ac:dyDescent="0.2">
      <c r="A1" s="150" t="s">
        <v>176</v>
      </c>
      <c r="B1" s="150"/>
    </row>
    <row r="2" spans="1:2" ht="15" customHeight="1" x14ac:dyDescent="0.2">
      <c r="A2" s="151" t="s">
        <v>177</v>
      </c>
      <c r="B2" s="152"/>
    </row>
    <row r="3" spans="1:2" ht="15" customHeight="1" x14ac:dyDescent="0.2">
      <c r="A3" s="53" t="s">
        <v>178</v>
      </c>
      <c r="B3" s="54" t="s">
        <v>179</v>
      </c>
    </row>
    <row r="4" spans="1:2" ht="15" customHeight="1" x14ac:dyDescent="0.2">
      <c r="A4" s="55" t="s">
        <v>180</v>
      </c>
      <c r="B4" s="56">
        <v>0.67420000000000002</v>
      </c>
    </row>
    <row r="5" spans="1:2" ht="15" customHeight="1" x14ac:dyDescent="0.2">
      <c r="A5" s="50" t="s">
        <v>181</v>
      </c>
      <c r="B5" s="57">
        <v>1.32E-2</v>
      </c>
    </row>
    <row r="6" spans="1:2" ht="15" customHeight="1" x14ac:dyDescent="0.2">
      <c r="A6" s="58" t="s">
        <v>182</v>
      </c>
      <c r="B6" s="59">
        <v>0.31259999999999999</v>
      </c>
    </row>
    <row r="7" spans="1:2" x14ac:dyDescent="0.2">
      <c r="A7" s="60"/>
      <c r="B7" s="60"/>
    </row>
    <row r="8" spans="1:2" ht="15" customHeight="1" x14ac:dyDescent="0.2">
      <c r="A8" s="151" t="s">
        <v>177</v>
      </c>
      <c r="B8" s="152"/>
    </row>
    <row r="9" spans="1:2" ht="15" customHeight="1" x14ac:dyDescent="0.2">
      <c r="A9" s="53" t="s">
        <v>178</v>
      </c>
      <c r="B9" s="54" t="s">
        <v>179</v>
      </c>
    </row>
    <row r="10" spans="1:2" ht="15" customHeight="1" x14ac:dyDescent="0.2">
      <c r="A10" s="61" t="s">
        <v>183</v>
      </c>
      <c r="B10" s="62">
        <f>B4*0.5</f>
        <v>0.33710000000000001</v>
      </c>
    </row>
    <row r="11" spans="1:2" ht="15" customHeight="1" x14ac:dyDescent="0.2">
      <c r="A11" s="63" t="s">
        <v>184</v>
      </c>
      <c r="B11" s="64">
        <f>B4*0.5</f>
        <v>0.33710000000000001</v>
      </c>
    </row>
    <row r="13" spans="1:2" x14ac:dyDescent="0.2">
      <c r="A13" t="s">
        <v>228</v>
      </c>
    </row>
  </sheetData>
  <mergeCells count="3">
    <mergeCell ref="A1:B1"/>
    <mergeCell ref="A2:B2"/>
    <mergeCell ref="A8:B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BB3A7-5B06-4981-B8EE-A3AB608A7C3D}">
  <sheetPr>
    <tabColor theme="0" tint="-0.14999847407452621"/>
  </sheetPr>
  <dimension ref="A1:E20"/>
  <sheetViews>
    <sheetView zoomScale="160" zoomScaleNormal="160" workbookViewId="0">
      <selection activeCell="A20" sqref="A1:E20"/>
    </sheetView>
  </sheetViews>
  <sheetFormatPr defaultRowHeight="12.75" x14ac:dyDescent="0.2"/>
  <cols>
    <col min="1" max="1" width="28.85546875" customWidth="1"/>
    <col min="2" max="2" width="10.42578125" customWidth="1"/>
    <col min="3" max="3" width="12.28515625" customWidth="1"/>
    <col min="4" max="4" width="13.42578125" customWidth="1"/>
    <col min="5" max="5" width="10.7109375" customWidth="1"/>
  </cols>
  <sheetData>
    <row r="1" spans="1:5" ht="20.100000000000001" customHeight="1" x14ac:dyDescent="0.2">
      <c r="A1" s="150" t="s">
        <v>185</v>
      </c>
      <c r="B1" s="150"/>
      <c r="C1" s="150"/>
      <c r="D1" s="150"/>
      <c r="E1" s="150"/>
    </row>
    <row r="2" spans="1:5" ht="24" customHeight="1" x14ac:dyDescent="0.2">
      <c r="A2" s="153" t="s">
        <v>186</v>
      </c>
      <c r="B2" s="153" t="s">
        <v>187</v>
      </c>
      <c r="C2" s="153" t="s">
        <v>188</v>
      </c>
      <c r="D2" s="153" t="s">
        <v>189</v>
      </c>
      <c r="E2" s="153" t="s">
        <v>190</v>
      </c>
    </row>
    <row r="3" spans="1:5" x14ac:dyDescent="0.2">
      <c r="A3" s="153"/>
      <c r="B3" s="153"/>
      <c r="C3" s="153"/>
      <c r="D3" s="153"/>
      <c r="E3" s="153"/>
    </row>
    <row r="4" spans="1:5" ht="15" customHeight="1" x14ac:dyDescent="0.2">
      <c r="A4" s="52" t="s">
        <v>191</v>
      </c>
      <c r="B4" s="16">
        <v>1</v>
      </c>
      <c r="C4" s="16">
        <v>1</v>
      </c>
      <c r="D4" s="19">
        <v>1</v>
      </c>
      <c r="E4" s="16">
        <f>B4*C4*D4</f>
        <v>1</v>
      </c>
    </row>
    <row r="5" spans="1:5" ht="15" customHeight="1" x14ac:dyDescent="0.2">
      <c r="A5" s="52" t="s">
        <v>192</v>
      </c>
      <c r="B5" s="16">
        <v>0.13439999999999999</v>
      </c>
      <c r="C5" s="16">
        <v>2</v>
      </c>
      <c r="D5" s="19">
        <v>1</v>
      </c>
      <c r="E5" s="16">
        <f>B5*C5*D5</f>
        <v>0.26879999999999998</v>
      </c>
    </row>
    <row r="6" spans="1:5" ht="15" customHeight="1" x14ac:dyDescent="0.2">
      <c r="A6" s="52" t="s">
        <v>193</v>
      </c>
      <c r="B6" s="16">
        <v>4.0000000000000001E-3</v>
      </c>
      <c r="C6" s="16">
        <v>1</v>
      </c>
      <c r="D6" s="19">
        <v>1</v>
      </c>
      <c r="E6" s="16">
        <f>B6*C6*D6</f>
        <v>4.0000000000000001E-3</v>
      </c>
    </row>
    <row r="7" spans="1:5" ht="15" customHeight="1" x14ac:dyDescent="0.2">
      <c r="A7" s="52" t="s">
        <v>194</v>
      </c>
      <c r="B7" s="16">
        <v>1.6000000000000001E-3</v>
      </c>
      <c r="C7" s="16">
        <v>6</v>
      </c>
      <c r="D7" s="19">
        <v>1</v>
      </c>
      <c r="E7" s="16">
        <f>B7*C7*D7</f>
        <v>9.6000000000000009E-3</v>
      </c>
    </row>
    <row r="8" spans="1:5" ht="15" customHeight="1" x14ac:dyDescent="0.2">
      <c r="A8" s="52" t="s">
        <v>195</v>
      </c>
      <c r="B8" s="16">
        <v>3.0499999999999999E-2</v>
      </c>
      <c r="C8" s="16">
        <v>2</v>
      </c>
      <c r="D8" s="19">
        <v>1</v>
      </c>
      <c r="E8" s="16">
        <f t="shared" ref="E8:E13" si="0">B8*C8*D8</f>
        <v>6.0999999999999999E-2</v>
      </c>
    </row>
    <row r="9" spans="1:5" ht="15" customHeight="1" x14ac:dyDescent="0.2">
      <c r="A9" s="52" t="s">
        <v>196</v>
      </c>
      <c r="B9" s="16">
        <v>1.18E-2</v>
      </c>
      <c r="C9" s="16">
        <v>3</v>
      </c>
      <c r="D9" s="19">
        <v>0.5</v>
      </c>
      <c r="E9" s="16">
        <f t="shared" si="0"/>
        <v>1.77E-2</v>
      </c>
    </row>
    <row r="10" spans="1:5" ht="15" customHeight="1" x14ac:dyDescent="0.2">
      <c r="A10" s="52" t="s">
        <v>197</v>
      </c>
      <c r="B10" s="16">
        <v>0.02</v>
      </c>
      <c r="C10" s="16">
        <v>1</v>
      </c>
      <c r="D10" s="19">
        <v>1</v>
      </c>
      <c r="E10" s="16">
        <f t="shared" si="0"/>
        <v>0.02</v>
      </c>
    </row>
    <row r="11" spans="1:5" ht="15" customHeight="1" x14ac:dyDescent="0.2">
      <c r="A11" s="52" t="s">
        <v>199</v>
      </c>
      <c r="B11" s="16">
        <v>1</v>
      </c>
      <c r="C11" s="16">
        <v>5</v>
      </c>
      <c r="D11" s="19">
        <v>1</v>
      </c>
      <c r="E11" s="16">
        <f>B11*C11*D11</f>
        <v>5</v>
      </c>
    </row>
    <row r="12" spans="1:5" ht="15" customHeight="1" x14ac:dyDescent="0.2">
      <c r="A12" s="52" t="s">
        <v>198</v>
      </c>
      <c r="B12" s="16">
        <v>9.2200000000000004E-2</v>
      </c>
      <c r="C12" s="16">
        <v>15</v>
      </c>
      <c r="D12" s="19">
        <v>0.5</v>
      </c>
      <c r="E12" s="16">
        <f>B12*C12*D12</f>
        <v>0.6915</v>
      </c>
    </row>
    <row r="13" spans="1:5" ht="15" customHeight="1" x14ac:dyDescent="0.2">
      <c r="A13" s="52" t="s">
        <v>200</v>
      </c>
      <c r="B13" s="16">
        <v>1.43E-2</v>
      </c>
      <c r="C13" s="16">
        <v>20</v>
      </c>
      <c r="D13" s="19">
        <v>0.5</v>
      </c>
      <c r="E13" s="16">
        <f t="shared" si="0"/>
        <v>0.14300000000000002</v>
      </c>
    </row>
    <row r="14" spans="1:5" x14ac:dyDescent="0.2">
      <c r="A14" s="101" t="s">
        <v>201</v>
      </c>
      <c r="B14" s="101"/>
      <c r="C14" s="101"/>
      <c r="D14" s="101"/>
      <c r="E14" s="16">
        <f>ROUND(SUM(E4:E13),0)</f>
        <v>7</v>
      </c>
    </row>
    <row r="16" spans="1:5" ht="20.100000000000001" customHeight="1" x14ac:dyDescent="0.2">
      <c r="A16" s="153" t="s">
        <v>202</v>
      </c>
      <c r="B16" s="153"/>
      <c r="C16" s="153"/>
      <c r="D16" s="153"/>
    </row>
    <row r="17" spans="1:4" ht="23.25" customHeight="1" x14ac:dyDescent="0.2">
      <c r="A17" s="65" t="s">
        <v>203</v>
      </c>
      <c r="B17" s="65" t="s">
        <v>204</v>
      </c>
      <c r="C17" s="65" t="s">
        <v>205</v>
      </c>
      <c r="D17" s="65" t="s">
        <v>206</v>
      </c>
    </row>
    <row r="18" spans="1:4" ht="15" customHeight="1" x14ac:dyDescent="0.2">
      <c r="A18" s="51" t="s">
        <v>234</v>
      </c>
      <c r="B18" s="66">
        <f>'Lucro Real - Fato Gerador'!I27+'Lucro Real - Fato Gerador'!I34+'Lucro Real - Fato Gerador'!I83</f>
        <v>3202.82</v>
      </c>
      <c r="C18" s="67">
        <v>30</v>
      </c>
      <c r="D18" s="74">
        <f>B18/C18</f>
        <v>106.76066666666667</v>
      </c>
    </row>
    <row r="19" spans="1:4" x14ac:dyDescent="0.2">
      <c r="A19" s="60"/>
      <c r="B19" s="60"/>
      <c r="C19" s="60"/>
      <c r="D19" s="60"/>
    </row>
    <row r="20" spans="1:4" x14ac:dyDescent="0.2">
      <c r="A20" t="s">
        <v>228</v>
      </c>
    </row>
  </sheetData>
  <mergeCells count="8">
    <mergeCell ref="A14:D14"/>
    <mergeCell ref="A16:D16"/>
    <mergeCell ref="A1:E1"/>
    <mergeCell ref="A2:A3"/>
    <mergeCell ref="B2:B3"/>
    <mergeCell ref="C2:C3"/>
    <mergeCell ref="D2:D3"/>
    <mergeCell ref="E2:E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Lucro Real - Fato Gerador</vt:lpstr>
      <vt:lpstr>DADOS CAGED PR</vt:lpstr>
      <vt:lpstr>Ausências Legais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</dc:creator>
  <cp:lastModifiedBy>Alisson Bobato Dalsanto</cp:lastModifiedBy>
  <cp:lastPrinted>2021-05-20T18:19:13Z</cp:lastPrinted>
  <dcterms:created xsi:type="dcterms:W3CDTF">2010-12-08T17:56:29Z</dcterms:created>
  <dcterms:modified xsi:type="dcterms:W3CDTF">2026-08-10T14:20:48Z</dcterms:modified>
</cp:coreProperties>
</file>