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13_ncr:1_{58605656-A4C9-4567-BD5F-EF264B2B8B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6" l="1"/>
  <c r="E62" i="6"/>
  <c r="B62" i="6"/>
  <c r="E61" i="6"/>
  <c r="B61" i="6"/>
  <c r="K54" i="6"/>
  <c r="E54" i="6"/>
  <c r="B54" i="6"/>
  <c r="K26" i="6"/>
  <c r="E26" i="6"/>
  <c r="B26" i="6"/>
  <c r="K21" i="6"/>
  <c r="E21" i="6"/>
  <c r="B21" i="6"/>
  <c r="B66" i="6" l="1"/>
  <c r="B52" i="6"/>
  <c r="B50" i="6"/>
  <c r="B48" i="6"/>
  <c r="K33" i="6"/>
  <c r="I25" i="6"/>
  <c r="L25" i="6" s="1"/>
  <c r="M25" i="6" s="1"/>
  <c r="N25" i="6" s="1"/>
  <c r="B20" i="6" l="1"/>
  <c r="B56" i="6" l="1"/>
  <c r="K52" i="6"/>
  <c r="B36" i="6"/>
  <c r="K31" i="6"/>
  <c r="B27" i="6"/>
  <c r="B59" i="6" l="1"/>
  <c r="K50" i="6"/>
  <c r="B49" i="6"/>
  <c r="B43" i="6"/>
  <c r="B40" i="6"/>
  <c r="B39" i="6"/>
  <c r="B38" i="6"/>
  <c r="B37" i="6"/>
  <c r="B23" i="6"/>
  <c r="B65" i="6" l="1"/>
  <c r="K59" i="6"/>
  <c r="K56" i="6"/>
  <c r="B55" i="6"/>
  <c r="K36" i="6"/>
  <c r="B34" i="6"/>
  <c r="B24" i="6"/>
  <c r="B22" i="6"/>
  <c r="B16" i="6" l="1"/>
  <c r="B7" i="6"/>
  <c r="I63" i="6" l="1"/>
  <c r="I59" i="6"/>
  <c r="I55" i="6"/>
  <c r="I50" i="6"/>
  <c r="I49" i="6"/>
  <c r="I47" i="6"/>
  <c r="I38" i="6"/>
  <c r="I33" i="6"/>
  <c r="I66" i="6"/>
  <c r="I48" i="6"/>
  <c r="I51" i="6"/>
  <c r="I53" i="6"/>
  <c r="I54" i="6"/>
  <c r="I56" i="6"/>
  <c r="I57" i="6"/>
  <c r="I58" i="6"/>
  <c r="I60" i="6"/>
  <c r="I61" i="6"/>
  <c r="I62" i="6"/>
  <c r="I64" i="6"/>
  <c r="I65" i="6"/>
  <c r="I46" i="6"/>
  <c r="I43" i="6"/>
  <c r="I32" i="6"/>
  <c r="I34" i="6"/>
  <c r="I35" i="6"/>
  <c r="I36" i="6"/>
  <c r="I37" i="6"/>
  <c r="I39" i="6"/>
  <c r="I40" i="6"/>
  <c r="I41" i="6"/>
  <c r="I42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6" i="6"/>
  <c r="I27" i="6"/>
  <c r="I28" i="6"/>
  <c r="I29" i="6"/>
  <c r="I30" i="6"/>
  <c r="I31" i="6"/>
  <c r="I8" i="6"/>
  <c r="I7" i="6"/>
  <c r="K20" i="6"/>
  <c r="B15" i="6"/>
  <c r="I52" i="6" l="1"/>
  <c r="K49" i="6"/>
  <c r="C14" i="6"/>
  <c r="B14" i="6"/>
  <c r="I14" i="6" s="1"/>
  <c r="K7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K81" i="6" l="1"/>
  <c r="K80" i="6"/>
  <c r="J81" i="6"/>
  <c r="J80" i="6"/>
  <c r="K82" i="6" l="1"/>
  <c r="J82" i="6"/>
  <c r="L34" i="6"/>
  <c r="M34" i="6" s="1"/>
  <c r="N34" i="6" s="1"/>
  <c r="L11" i="6" l="1"/>
  <c r="M11" i="6" s="1"/>
  <c r="N11" i="6" s="1"/>
  <c r="L41" i="6" l="1"/>
  <c r="M41" i="6" s="1"/>
  <c r="N41" i="6" s="1"/>
  <c r="L58" i="6" l="1"/>
  <c r="M58" i="6" s="1"/>
  <c r="N58" i="6" s="1"/>
  <c r="L26" i="6"/>
  <c r="M26" i="6" s="1"/>
  <c r="N26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L57" i="6"/>
  <c r="M57" i="6" s="1"/>
  <c r="N57" i="6" s="1"/>
  <c r="L56" i="6"/>
  <c r="M56" i="6" s="1"/>
  <c r="N56" i="6" s="1"/>
  <c r="L55" i="6"/>
  <c r="M55" i="6" s="1"/>
  <c r="L54" i="6"/>
  <c r="M54" i="6" s="1"/>
  <c r="L53" i="6"/>
  <c r="M53" i="6" s="1"/>
  <c r="L50" i="6"/>
  <c r="M50" i="6" s="1"/>
  <c r="L49" i="6"/>
  <c r="M49" i="6" s="1"/>
  <c r="L48" i="6"/>
  <c r="M48" i="6" s="1"/>
  <c r="N48" i="6" s="1"/>
  <c r="L43" i="6"/>
  <c r="M43" i="6" s="1"/>
  <c r="N43" i="6" s="1"/>
  <c r="L39" i="6"/>
  <c r="M39" i="6" s="1"/>
  <c r="N39" i="6" s="1"/>
  <c r="L38" i="6"/>
  <c r="M38" i="6" s="1"/>
  <c r="N38" i="6" s="1"/>
  <c r="L36" i="6"/>
  <c r="M36" i="6" s="1"/>
  <c r="N36" i="6" s="1"/>
  <c r="L33" i="6"/>
  <c r="M33" i="6" s="1"/>
  <c r="N33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7" i="6"/>
  <c r="M27" i="6" s="1"/>
  <c r="N27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7" i="6" l="1"/>
  <c r="M47" i="6" s="1"/>
  <c r="N47" i="6" s="1"/>
  <c r="I81" i="6"/>
  <c r="L9" i="6"/>
  <c r="I80" i="6"/>
  <c r="L62" i="6"/>
  <c r="M62" i="6" s="1"/>
  <c r="N62" i="6" s="1"/>
  <c r="L17" i="6"/>
  <c r="M17" i="6" s="1"/>
  <c r="N17" i="6" s="1"/>
  <c r="L59" i="6"/>
  <c r="M59" i="6" s="1"/>
  <c r="N59" i="6" s="1"/>
  <c r="L51" i="6"/>
  <c r="M51" i="6" s="1"/>
  <c r="N51" i="6" s="1"/>
  <c r="L52" i="6"/>
  <c r="M52" i="6" s="1"/>
  <c r="N52" i="6" s="1"/>
  <c r="L61" i="6"/>
  <c r="M61" i="6" s="1"/>
  <c r="N61" i="6" s="1"/>
  <c r="L12" i="6"/>
  <c r="M12" i="6" s="1"/>
  <c r="N12" i="6" s="1"/>
  <c r="L35" i="6"/>
  <c r="M35" i="6" s="1"/>
  <c r="N35" i="6" s="1"/>
  <c r="L28" i="6"/>
  <c r="M28" i="6" s="1"/>
  <c r="N28" i="6" s="1"/>
  <c r="L40" i="6"/>
  <c r="M40" i="6" s="1"/>
  <c r="N40" i="6" s="1"/>
  <c r="L37" i="6"/>
  <c r="M37" i="6" s="1"/>
  <c r="N37" i="6" s="1"/>
  <c r="L46" i="6"/>
  <c r="M46" i="6" s="1"/>
  <c r="N46" i="6" s="1"/>
  <c r="L21" i="6"/>
  <c r="M21" i="6" s="1"/>
  <c r="N21" i="6" s="1"/>
  <c r="L18" i="6"/>
  <c r="M18" i="6" s="1"/>
  <c r="N18" i="6" s="1"/>
  <c r="L14" i="6"/>
  <c r="M14" i="6" s="1"/>
  <c r="N14" i="6" s="1"/>
  <c r="N55" i="6"/>
  <c r="N50" i="6"/>
  <c r="N49" i="6"/>
  <c r="N53" i="6"/>
  <c r="L42" i="6"/>
  <c r="M42" i="6" s="1"/>
  <c r="N42" i="6" s="1"/>
  <c r="N54" i="6"/>
  <c r="N60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<sst xmlns="http://schemas.openxmlformats.org/spreadsheetml/2006/main" count="114" uniqueCount="90">
  <si>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</si>
  <si>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</si>
  <si>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</si>
  <si>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</si>
  <si>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</si>
  <si>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</si>
  <si>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</si>
  <si>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</si>
  <si>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</si>
  <si>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</si>
  <si>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</si>
  <si>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</si>
  <si>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</si>
  <si>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</si>
  <si>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</si>
  <si>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</si>
  <si>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</si>
  <si>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</si>
  <si>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</si>
  <si>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</si>
  <si>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</si>
  <si>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</si>
  <si>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</si>
  <si>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</si>
  <si>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</si>
  <si>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</si>
  <si>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</si>
  <si>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</si>
  <si>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</si>
  <si>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</si>
  <si>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</si>
  <si>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</si>
  <si>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</si>
  <si>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</si>
  <si>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</si>
  <si>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</si>
  <si>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</si>
  <si>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</si>
  <si>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</si>
  <si>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</si>
  <si>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</si>
  <si>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</si>
  <si>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</si>
  <si>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</si>
  <si>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</si>
  <si>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</si>
  <si>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</si>
  <si>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</si>
  <si>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</si>
  <si>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</si>
  <si>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</si>
  <si>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</si>
  <si>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</si>
  <si>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</si>
  <si>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</si>
  <si>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</si>
  <si>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</si>
  <si>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</si>
  <si>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</si>
  <si>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</si>
  <si>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</si>
  <si>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</si>
  <si>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</si>
  <si>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</si>
  <si>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</si>
  <si>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</si>
  <si>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</si>
  <si>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</si>
  <si>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TOTAL</t>
  </si>
  <si>
    <t>IRRF</t>
  </si>
  <si>
    <t>LIQUIDO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</si>
  <si>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</si>
  <si>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</si>
  <si>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</si>
  <si>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</si>
  <si>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</si>
  <si>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</si>
  <si>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</si>
  <si>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</si>
  <si>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</si>
  <si>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</si>
  <si>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</si>
  <si>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</si>
  <si>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</si>
  <si>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</si>
  <si>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</si>
  <si>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</si>
  <si>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</si>
  <si>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</si>
  <si>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Mês: 12               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</si>
</sst>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164" fontId="0" fillId="0" borderId="3" xfId="0" applyNumberFormat="1" applyFill="1" applyBorder="1"/>
    <xf numFmtId="164" fontId="0" fillId="0" borderId="0" xfId="0" applyNumberFormat="1" applyProtection="1">
      <protection locked="0"/>
    </xf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/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7" fillId="3" borderId="8" xfId="0" applyNumberFormat="1" applyFont="1" applyFill="1" applyBorder="1" applyProtection="1">
      <protection locked="0"/>
    </xf>
    <xf numFmtId="164" fontId="7" fillId="3" borderId="9" xfId="0" applyNumberFormat="1" applyFont="1" applyFill="1" applyBorder="1" applyProtection="1">
      <protection locked="0"/>
    </xf>
    <xf numFmtId="0" fontId="9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3" fillId="4" borderId="16" xfId="0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13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4" fillId="4" borderId="14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7" fillId="3" borderId="12" xfId="0" applyNumberFormat="1" applyFont="1" applyFill="1" applyBorder="1" applyAlignment="1" applyProtection="1">
      <alignment horizontal="center"/>
      <protection locked="0"/>
    </xf>
    <xf numFmtId="164" fontId="7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67" sqref="P6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7" ht="16.5" x14ac:dyDescent="0.25">
      <c r="A2" s="65" t="s">
        <v>58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7" ht="4.5" customHeight="1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7" ht="19.5" thickBot="1" x14ac:dyDescent="0.35">
      <c r="A4" s="19" t="s">
        <v>89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7" x14ac:dyDescent="0.25">
      <c r="A5" s="67" t="s">
        <v>56</v>
      </c>
      <c r="B5" s="69" t="s">
        <v>46</v>
      </c>
      <c r="C5" s="73" t="s">
        <v>76</v>
      </c>
      <c r="D5" s="71" t="s">
        <v>47</v>
      </c>
      <c r="E5" s="71" t="s">
        <v>77</v>
      </c>
      <c r="F5" s="47" t="s">
        <v>78</v>
      </c>
      <c r="G5" s="51" t="s">
        <v>80</v>
      </c>
      <c r="H5" s="20" t="s">
        <v>59</v>
      </c>
      <c r="I5" s="39" t="s">
        <v>48</v>
      </c>
      <c r="J5" s="71" t="s">
        <v>50</v>
      </c>
      <c r="K5" s="71" t="s">
        <v>51</v>
      </c>
      <c r="L5" s="20" t="s">
        <v>52</v>
      </c>
      <c r="M5" s="20" t="s">
        <v>54</v>
      </c>
      <c r="N5" s="41" t="s">
        <v>48</v>
      </c>
    </row>
    <row r="6" spans="1:17" ht="15.75" thickBot="1" x14ac:dyDescent="0.3">
      <c r="A6" s="68"/>
      <c r="B6" s="70"/>
      <c r="C6" s="74"/>
      <c r="D6" s="72"/>
      <c r="E6" s="72"/>
      <c r="F6" s="50" t="s">
        <v>79</v>
      </c>
      <c r="G6" s="52" t="s">
        <v>61</v>
      </c>
      <c r="H6" s="21" t="s">
        <v>60</v>
      </c>
      <c r="I6" s="40" t="s">
        <v>49</v>
      </c>
      <c r="J6" s="72"/>
      <c r="K6" s="72"/>
      <c r="L6" s="21" t="s">
        <v>53</v>
      </c>
      <c r="M6" s="21" t="s">
        <v>53</v>
      </c>
      <c r="N6" s="42" t="s">
        <v>55</v>
      </c>
    </row>
    <row r="7" spans="1:17" x14ac:dyDescent="0.25">
      <c r="A7" s="32" t="s">
        <v>0</v>
      </c>
      <c r="B7" s="27">
        <f>10382.27+5087.31</f>
        <v>15469.580000000002</v>
      </c>
      <c r="C7" s="53">
        <v>4152.91</v>
      </c>
      <c r="D7" s="58"/>
      <c r="E7" s="58"/>
      <c r="F7" s="58"/>
      <c r="G7" s="58"/>
      <c r="H7" s="59"/>
      <c r="I7" s="24">
        <f>SUM(B7:H7)</f>
        <v>19622.490000000002</v>
      </c>
      <c r="J7" s="5">
        <v>4278.59</v>
      </c>
      <c r="K7" s="5">
        <f>285.23+427.85</f>
        <v>713.08</v>
      </c>
      <c r="L7" s="3">
        <f t="shared" ref="L7:L13" si="0">I7-J7-K7-P7</f>
        <v>811.25000000000182</v>
      </c>
      <c r="M7" s="2">
        <f>SUM(J7:L7)</f>
        <v>5802.9200000000019</v>
      </c>
      <c r="N7" s="35">
        <f>SUM(I7-M7)</f>
        <v>13819.57</v>
      </c>
      <c r="O7" s="43"/>
      <c r="P7" s="44">
        <v>13819.57</v>
      </c>
    </row>
    <row r="8" spans="1:17" x14ac:dyDescent="0.25">
      <c r="A8" s="33" t="s">
        <v>1</v>
      </c>
      <c r="B8" s="28">
        <v>5359.33</v>
      </c>
      <c r="C8" s="54"/>
      <c r="D8" s="60"/>
      <c r="E8" s="60"/>
      <c r="F8" s="60"/>
      <c r="G8" s="60"/>
      <c r="H8" s="61"/>
      <c r="I8" s="25">
        <f>SUM(B8:H8)</f>
        <v>5359.33</v>
      </c>
      <c r="J8" s="6">
        <v>436.91</v>
      </c>
      <c r="K8" s="6">
        <v>609.24</v>
      </c>
      <c r="L8" s="3">
        <f t="shared" si="0"/>
        <v>41.0600000000004</v>
      </c>
      <c r="M8" s="3">
        <f t="shared" ref="M8:M66" si="1">SUM(J8:L8)</f>
        <v>1087.2100000000005</v>
      </c>
      <c r="N8" s="36">
        <f t="shared" ref="N8:N66" si="2">SUM(I8-M8)</f>
        <v>4272.119999999999</v>
      </c>
      <c r="O8" s="43"/>
      <c r="P8" s="44">
        <v>4272.12</v>
      </c>
    </row>
    <row r="9" spans="1:17" x14ac:dyDescent="0.25">
      <c r="A9" s="33" t="s">
        <v>2</v>
      </c>
      <c r="B9" s="28">
        <v>2458.62</v>
      </c>
      <c r="C9" s="54"/>
      <c r="D9" s="60"/>
      <c r="E9" s="60"/>
      <c r="F9" s="60"/>
      <c r="G9" s="60"/>
      <c r="H9" s="61"/>
      <c r="I9" s="25">
        <f t="shared" ref="I9:I42" si="3">SUM(B9:H9)</f>
        <v>2458.62</v>
      </c>
      <c r="J9" s="6"/>
      <c r="K9" s="6">
        <v>216.26</v>
      </c>
      <c r="L9" s="3">
        <f t="shared" si="0"/>
        <v>1191.6799999999996</v>
      </c>
      <c r="M9" s="3">
        <f t="shared" si="1"/>
        <v>1407.9399999999996</v>
      </c>
      <c r="N9" s="36">
        <f t="shared" si="2"/>
        <v>1050.6800000000003</v>
      </c>
      <c r="O9" s="43"/>
      <c r="P9" s="44">
        <v>1050.68</v>
      </c>
    </row>
    <row r="10" spans="1:17" x14ac:dyDescent="0.25">
      <c r="A10" s="33" t="s">
        <v>72</v>
      </c>
      <c r="B10" s="28">
        <v>4271.97</v>
      </c>
      <c r="C10" s="54"/>
      <c r="D10" s="60"/>
      <c r="E10" s="60"/>
      <c r="F10" s="60"/>
      <c r="G10" s="60"/>
      <c r="H10" s="61"/>
      <c r="I10" s="25">
        <f t="shared" si="3"/>
        <v>4271.97</v>
      </c>
      <c r="J10" s="6">
        <v>222.24</v>
      </c>
      <c r="K10" s="6">
        <v>457</v>
      </c>
      <c r="L10" s="3">
        <f t="shared" ref="L10" si="4">I10-J10-K10-P10</f>
        <v>41.0600000000004</v>
      </c>
      <c r="M10" s="3">
        <f t="shared" ref="M10" si="5">SUM(J10:L10)</f>
        <v>720.30000000000041</v>
      </c>
      <c r="N10" s="36">
        <f t="shared" ref="N10" si="6">SUM(I10-M10)</f>
        <v>3551.67</v>
      </c>
      <c r="O10" s="43"/>
      <c r="P10" s="44">
        <v>3551.67</v>
      </c>
    </row>
    <row r="11" spans="1:17" x14ac:dyDescent="0.25">
      <c r="A11" s="33" t="s">
        <v>65</v>
      </c>
      <c r="B11" s="28">
        <v>1882.88</v>
      </c>
      <c r="C11" s="54">
        <v>1000</v>
      </c>
      <c r="D11" s="60"/>
      <c r="E11" s="60"/>
      <c r="F11" s="60"/>
      <c r="G11" s="60"/>
      <c r="H11" s="61"/>
      <c r="I11" s="25">
        <f t="shared" si="3"/>
        <v>2882.88</v>
      </c>
      <c r="J11" s="6">
        <v>53.35</v>
      </c>
      <c r="K11" s="6">
        <v>267.57</v>
      </c>
      <c r="L11" s="3">
        <f t="shared" si="0"/>
        <v>98.199999999999818</v>
      </c>
      <c r="M11" s="3">
        <f t="shared" si="1"/>
        <v>419.11999999999983</v>
      </c>
      <c r="N11" s="36">
        <f t="shared" si="2"/>
        <v>2463.7600000000002</v>
      </c>
      <c r="O11" s="43"/>
      <c r="P11" s="44">
        <v>2463.7600000000002</v>
      </c>
    </row>
    <row r="12" spans="1:17" x14ac:dyDescent="0.25">
      <c r="A12" s="33" t="s">
        <v>3</v>
      </c>
      <c r="B12" s="28">
        <v>2664.07</v>
      </c>
      <c r="C12" s="54"/>
      <c r="D12" s="60"/>
      <c r="E12" s="60"/>
      <c r="F12" s="60"/>
      <c r="G12" s="60"/>
      <c r="H12" s="61"/>
      <c r="I12" s="25">
        <f t="shared" si="3"/>
        <v>2664.07</v>
      </c>
      <c r="J12" s="6">
        <v>24.69</v>
      </c>
      <c r="K12" s="6">
        <v>241.31</v>
      </c>
      <c r="L12" s="3">
        <f t="shared" si="0"/>
        <v>985.66000000000008</v>
      </c>
      <c r="M12" s="3">
        <f t="shared" si="1"/>
        <v>1251.6600000000001</v>
      </c>
      <c r="N12" s="36">
        <f>SUM(I12-M12)+G12</f>
        <v>1412.41</v>
      </c>
      <c r="O12" s="43"/>
      <c r="P12" s="44">
        <v>1412.41</v>
      </c>
      <c r="Q12" s="1"/>
    </row>
    <row r="13" spans="1:17" x14ac:dyDescent="0.25">
      <c r="A13" s="33" t="s">
        <v>4</v>
      </c>
      <c r="B13" s="28">
        <v>3617.77</v>
      </c>
      <c r="C13" s="54"/>
      <c r="D13" s="60"/>
      <c r="E13" s="60"/>
      <c r="F13" s="60"/>
      <c r="G13" s="60"/>
      <c r="H13" s="61"/>
      <c r="I13" s="25">
        <f t="shared" si="3"/>
        <v>3617.77</v>
      </c>
      <c r="J13" s="6">
        <v>104.61</v>
      </c>
      <c r="K13" s="6">
        <v>365.42</v>
      </c>
      <c r="L13" s="3">
        <f t="shared" si="0"/>
        <v>1007.06</v>
      </c>
      <c r="M13" s="3">
        <f t="shared" si="1"/>
        <v>1477.09</v>
      </c>
      <c r="N13" s="36">
        <f t="shared" si="2"/>
        <v>2140.6800000000003</v>
      </c>
      <c r="O13" s="43"/>
      <c r="P13" s="44">
        <v>2140.6799999999998</v>
      </c>
    </row>
    <row r="14" spans="1:17" x14ac:dyDescent="0.25">
      <c r="A14" s="33" t="s">
        <v>5</v>
      </c>
      <c r="B14" s="28">
        <f>11980.55+5930.37</f>
        <v>17910.919999999998</v>
      </c>
      <c r="C14" s="54">
        <f>4792.22+1198.06</f>
        <v>5990.2800000000007</v>
      </c>
      <c r="D14" s="60"/>
      <c r="E14" s="60"/>
      <c r="F14" s="60"/>
      <c r="G14" s="60"/>
      <c r="H14" s="61"/>
      <c r="I14" s="25">
        <f t="shared" si="3"/>
        <v>23901.199999999997</v>
      </c>
      <c r="J14" s="6">
        <v>5507.37</v>
      </c>
      <c r="K14" s="6">
        <v>713.08</v>
      </c>
      <c r="L14" s="3">
        <f>I14-J14-K14-P14</f>
        <v>104.48999999999796</v>
      </c>
      <c r="M14" s="3">
        <f t="shared" si="1"/>
        <v>6324.9399999999978</v>
      </c>
      <c r="N14" s="36">
        <f t="shared" si="2"/>
        <v>17576.259999999998</v>
      </c>
      <c r="O14" s="43"/>
      <c r="P14" s="44">
        <v>17576.259999999998</v>
      </c>
    </row>
    <row r="15" spans="1:17" x14ac:dyDescent="0.25">
      <c r="A15" s="33" t="s">
        <v>6</v>
      </c>
      <c r="B15" s="28">
        <f>10370.38+3608.89</f>
        <v>13979.269999999999</v>
      </c>
      <c r="C15" s="54">
        <v>2074.08</v>
      </c>
      <c r="D15" s="60"/>
      <c r="E15" s="60"/>
      <c r="F15" s="60"/>
      <c r="G15" s="60"/>
      <c r="H15" s="61"/>
      <c r="I15" s="25">
        <f t="shared" si="3"/>
        <v>16053.349999999999</v>
      </c>
      <c r="J15" s="6">
        <v>3297.08</v>
      </c>
      <c r="K15" s="6">
        <v>713.08</v>
      </c>
      <c r="L15" s="3">
        <f t="shared" ref="L15:L43" si="7">I15-J15-K15-P15</f>
        <v>218.28999999999905</v>
      </c>
      <c r="M15" s="3">
        <f t="shared" si="1"/>
        <v>4228.4499999999989</v>
      </c>
      <c r="N15" s="36">
        <f t="shared" si="2"/>
        <v>11824.9</v>
      </c>
      <c r="O15" s="43"/>
      <c r="P15" s="44">
        <v>11824.9</v>
      </c>
    </row>
    <row r="16" spans="1:17" x14ac:dyDescent="0.25">
      <c r="A16" s="33" t="s">
        <v>7</v>
      </c>
      <c r="B16" s="28">
        <f>11980.55+3522.28</f>
        <v>15502.83</v>
      </c>
      <c r="C16" s="54">
        <v>4792.22</v>
      </c>
      <c r="D16" s="60"/>
      <c r="E16" s="60"/>
      <c r="F16" s="60"/>
      <c r="G16" s="60"/>
      <c r="H16" s="61"/>
      <c r="I16" s="25">
        <f t="shared" si="3"/>
        <v>20295.05</v>
      </c>
      <c r="J16" s="6">
        <v>4515.68</v>
      </c>
      <c r="K16" s="6">
        <v>713.08</v>
      </c>
      <c r="L16" s="3">
        <f t="shared" si="7"/>
        <v>107.19999999999891</v>
      </c>
      <c r="M16" s="3">
        <f t="shared" si="1"/>
        <v>5335.9599999999991</v>
      </c>
      <c r="N16" s="36">
        <f t="shared" si="2"/>
        <v>14959.09</v>
      </c>
      <c r="O16" s="43"/>
      <c r="P16" s="44">
        <v>14959.09</v>
      </c>
    </row>
    <row r="17" spans="1:16" x14ac:dyDescent="0.25">
      <c r="A17" s="33" t="s">
        <v>8</v>
      </c>
      <c r="B17" s="28">
        <v>2433.34</v>
      </c>
      <c r="C17" s="54"/>
      <c r="D17" s="60"/>
      <c r="E17" s="60"/>
      <c r="F17" s="60"/>
      <c r="G17" s="60"/>
      <c r="H17" s="61"/>
      <c r="I17" s="25">
        <f t="shared" si="3"/>
        <v>2433.34</v>
      </c>
      <c r="J17" s="6">
        <v>23.68</v>
      </c>
      <c r="K17" s="6">
        <v>213.63</v>
      </c>
      <c r="L17" s="3">
        <f t="shared" si="7"/>
        <v>17.480000000000018</v>
      </c>
      <c r="M17" s="3">
        <f t="shared" si="1"/>
        <v>254.79000000000002</v>
      </c>
      <c r="N17" s="36">
        <f t="shared" si="2"/>
        <v>2178.5500000000002</v>
      </c>
      <c r="O17" s="43"/>
      <c r="P17" s="44">
        <v>2178.5500000000002</v>
      </c>
    </row>
    <row r="18" spans="1:16" x14ac:dyDescent="0.25">
      <c r="A18" s="33" t="s">
        <v>9</v>
      </c>
      <c r="B18" s="28">
        <v>2244.59</v>
      </c>
      <c r="C18" s="54"/>
      <c r="D18" s="60"/>
      <c r="E18" s="60"/>
      <c r="F18" s="60"/>
      <c r="G18" s="60"/>
      <c r="H18" s="61"/>
      <c r="I18" s="25">
        <f t="shared" si="3"/>
        <v>2244.59</v>
      </c>
      <c r="J18" s="6">
        <v>11.22</v>
      </c>
      <c r="K18" s="6">
        <v>190.97</v>
      </c>
      <c r="L18" s="3">
        <f t="shared" si="7"/>
        <v>121.9200000000003</v>
      </c>
      <c r="M18" s="3">
        <f t="shared" si="1"/>
        <v>324.1100000000003</v>
      </c>
      <c r="N18" s="36">
        <f t="shared" si="2"/>
        <v>1920.4799999999998</v>
      </c>
      <c r="O18" s="43"/>
      <c r="P18" s="44">
        <v>1920.48</v>
      </c>
    </row>
    <row r="19" spans="1:16" x14ac:dyDescent="0.25">
      <c r="A19" s="33" t="s">
        <v>71</v>
      </c>
      <c r="B19" s="28">
        <v>2696.27</v>
      </c>
      <c r="C19" s="54"/>
      <c r="D19" s="60"/>
      <c r="E19" s="60"/>
      <c r="F19" s="60"/>
      <c r="G19" s="60"/>
      <c r="H19" s="61"/>
      <c r="I19" s="25">
        <f t="shared" si="3"/>
        <v>2696.27</v>
      </c>
      <c r="J19" s="6">
        <v>26.81</v>
      </c>
      <c r="K19" s="6">
        <v>245.18</v>
      </c>
      <c r="L19" s="3">
        <f t="shared" si="7"/>
        <v>255.89000000000033</v>
      </c>
      <c r="M19" s="3">
        <f t="shared" si="1"/>
        <v>527.88000000000034</v>
      </c>
      <c r="N19" s="36">
        <f t="shared" si="2"/>
        <v>2168.3899999999994</v>
      </c>
      <c r="O19" s="43"/>
      <c r="P19" s="44">
        <v>2168.39</v>
      </c>
    </row>
    <row r="20" spans="1:16" x14ac:dyDescent="0.25">
      <c r="A20" s="33" t="s">
        <v>10</v>
      </c>
      <c r="B20" s="28">
        <f>5026.06+844.38</f>
        <v>5870.4400000000005</v>
      </c>
      <c r="C20" s="54">
        <v>1005.21</v>
      </c>
      <c r="D20" s="60"/>
      <c r="E20" s="60"/>
      <c r="F20" s="60"/>
      <c r="G20" s="60"/>
      <c r="H20" s="61"/>
      <c r="I20" s="25">
        <f t="shared" si="3"/>
        <v>6875.6500000000005</v>
      </c>
      <c r="J20" s="6">
        <v>668.93</v>
      </c>
      <c r="K20" s="6">
        <f>303.77+409.31</f>
        <v>713.07999999999993</v>
      </c>
      <c r="L20" s="3">
        <f t="shared" si="7"/>
        <v>523.32999999999993</v>
      </c>
      <c r="M20" s="3">
        <f t="shared" si="1"/>
        <v>1905.3399999999997</v>
      </c>
      <c r="N20" s="36">
        <f t="shared" si="2"/>
        <v>4970.3100000000013</v>
      </c>
      <c r="O20" s="43"/>
      <c r="P20" s="44">
        <v>4970.3100000000004</v>
      </c>
    </row>
    <row r="21" spans="1:16" x14ac:dyDescent="0.25">
      <c r="A21" s="33" t="s">
        <v>11</v>
      </c>
      <c r="B21" s="28">
        <f>1895.13+151.61</f>
        <v>2046.7400000000002</v>
      </c>
      <c r="C21" s="54"/>
      <c r="D21" s="60"/>
      <c r="E21" s="60">
        <f>379.03+30.32+136.45</f>
        <v>545.79999999999995</v>
      </c>
      <c r="F21" s="60"/>
      <c r="G21" s="60"/>
      <c r="H21" s="61"/>
      <c r="I21" s="25">
        <f t="shared" si="3"/>
        <v>2592.54</v>
      </c>
      <c r="J21" s="6"/>
      <c r="K21" s="6">
        <f>191.8+40.93</f>
        <v>232.73000000000002</v>
      </c>
      <c r="L21" s="3">
        <f t="shared" si="7"/>
        <v>510.99</v>
      </c>
      <c r="M21" s="3">
        <f t="shared" si="1"/>
        <v>743.72</v>
      </c>
      <c r="N21" s="36">
        <f t="shared" si="2"/>
        <v>1848.82</v>
      </c>
      <c r="O21" s="43"/>
      <c r="P21" s="44">
        <v>1848.82</v>
      </c>
    </row>
    <row r="22" spans="1:16" x14ac:dyDescent="0.25">
      <c r="A22" s="33" t="s">
        <v>12</v>
      </c>
      <c r="B22" s="28">
        <f>13212.02+7451.58</f>
        <v>20663.599999999999</v>
      </c>
      <c r="C22" s="54">
        <v>17836.23</v>
      </c>
      <c r="D22" s="60"/>
      <c r="E22" s="60"/>
      <c r="F22" s="60"/>
      <c r="G22" s="60"/>
      <c r="H22" s="61"/>
      <c r="I22" s="25">
        <f t="shared" si="3"/>
        <v>38499.83</v>
      </c>
      <c r="J22" s="6">
        <v>9522</v>
      </c>
      <c r="K22" s="6">
        <v>713.08</v>
      </c>
      <c r="L22" s="3">
        <f t="shared" si="7"/>
        <v>272.20000000000073</v>
      </c>
      <c r="M22" s="3">
        <f t="shared" si="1"/>
        <v>10507.28</v>
      </c>
      <c r="N22" s="36">
        <f t="shared" si="2"/>
        <v>27992.550000000003</v>
      </c>
      <c r="O22" s="43"/>
      <c r="P22" s="44">
        <v>27992.55</v>
      </c>
    </row>
    <row r="23" spans="1:16" x14ac:dyDescent="0.25">
      <c r="A23" s="33" t="s">
        <v>13</v>
      </c>
      <c r="B23" s="28">
        <f>11980.55+3737.93</f>
        <v>15718.48</v>
      </c>
      <c r="C23" s="54">
        <v>2396.11</v>
      </c>
      <c r="D23" s="60"/>
      <c r="E23" s="60"/>
      <c r="F23" s="60"/>
      <c r="G23" s="60"/>
      <c r="H23" s="61"/>
      <c r="I23" s="25">
        <f t="shared" si="3"/>
        <v>18114.59</v>
      </c>
      <c r="J23" s="6">
        <v>3863.92</v>
      </c>
      <c r="K23" s="6">
        <v>713.08</v>
      </c>
      <c r="L23" s="3">
        <f t="shared" si="7"/>
        <v>2178.1800000000003</v>
      </c>
      <c r="M23" s="3">
        <f t="shared" si="1"/>
        <v>6755.18</v>
      </c>
      <c r="N23" s="36">
        <f t="shared" si="2"/>
        <v>11359.41</v>
      </c>
      <c r="O23" s="43"/>
      <c r="P23" s="44">
        <v>11359.41</v>
      </c>
    </row>
    <row r="24" spans="1:16" x14ac:dyDescent="0.25">
      <c r="A24" s="33" t="s">
        <v>14</v>
      </c>
      <c r="B24" s="28">
        <f>5216.65+1147.66</f>
        <v>6364.3099999999995</v>
      </c>
      <c r="C24" s="54"/>
      <c r="D24" s="60"/>
      <c r="E24" s="60"/>
      <c r="F24" s="60"/>
      <c r="G24" s="60"/>
      <c r="H24" s="61"/>
      <c r="I24" s="25">
        <f t="shared" si="3"/>
        <v>6364.3099999999995</v>
      </c>
      <c r="J24" s="6">
        <v>580.45000000000005</v>
      </c>
      <c r="K24" s="6">
        <v>713.08</v>
      </c>
      <c r="L24" s="3">
        <f t="shared" si="7"/>
        <v>1317.8399999999997</v>
      </c>
      <c r="M24" s="3">
        <f t="shared" si="1"/>
        <v>2611.37</v>
      </c>
      <c r="N24" s="36">
        <f t="shared" si="2"/>
        <v>3752.9399999999996</v>
      </c>
      <c r="O24" s="43"/>
      <c r="P24" s="44">
        <v>3752.94</v>
      </c>
    </row>
    <row r="25" spans="1:16" x14ac:dyDescent="0.25">
      <c r="A25" s="33" t="s">
        <v>88</v>
      </c>
      <c r="B25" s="28">
        <v>1755.42</v>
      </c>
      <c r="C25" s="54"/>
      <c r="D25" s="60"/>
      <c r="E25" s="60"/>
      <c r="F25" s="60"/>
      <c r="G25" s="60"/>
      <c r="H25" s="61"/>
      <c r="I25" s="25">
        <f t="shared" si="3"/>
        <v>1755.42</v>
      </c>
      <c r="J25" s="6"/>
      <c r="K25" s="6">
        <v>142.30000000000001</v>
      </c>
      <c r="L25" s="3">
        <f t="shared" ref="L25" si="8">I25-J25-K25-P25</f>
        <v>6.1200000000001182</v>
      </c>
      <c r="M25" s="3">
        <f t="shared" ref="M25" si="9">SUM(J25:L25)</f>
        <v>148.42000000000013</v>
      </c>
      <c r="N25" s="36">
        <f t="shared" ref="N25" si="10">SUM(I25-M25)</f>
        <v>1607</v>
      </c>
      <c r="O25" s="43"/>
      <c r="P25" s="44">
        <v>1607</v>
      </c>
    </row>
    <row r="26" spans="1:16" x14ac:dyDescent="0.25">
      <c r="A26" s="33" t="s">
        <v>62</v>
      </c>
      <c r="B26" s="28">
        <f>2499.69+74.99</f>
        <v>2574.6799999999998</v>
      </c>
      <c r="C26" s="54"/>
      <c r="D26" s="60"/>
      <c r="E26" s="60">
        <f>277.74+8.33+95.36</f>
        <v>381.43</v>
      </c>
      <c r="F26" s="60"/>
      <c r="G26" s="60"/>
      <c r="H26" s="61"/>
      <c r="I26" s="25">
        <f t="shared" si="3"/>
        <v>2956.1099999999997</v>
      </c>
      <c r="J26" s="6">
        <v>32.03</v>
      </c>
      <c r="K26" s="6">
        <f>243.65+32.71</f>
        <v>276.36</v>
      </c>
      <c r="L26" s="3">
        <f t="shared" si="7"/>
        <v>454.92999999999938</v>
      </c>
      <c r="M26" s="3">
        <f t="shared" si="1"/>
        <v>763.31999999999937</v>
      </c>
      <c r="N26" s="36">
        <f t="shared" si="2"/>
        <v>2192.7900000000004</v>
      </c>
      <c r="O26" s="43"/>
      <c r="P26" s="44">
        <v>2192.79</v>
      </c>
    </row>
    <row r="27" spans="1:16" x14ac:dyDescent="0.25">
      <c r="A27" s="33" t="s">
        <v>15</v>
      </c>
      <c r="B27" s="28">
        <f>11980.55+3737.93</f>
        <v>15718.48</v>
      </c>
      <c r="C27" s="54">
        <v>2396.11</v>
      </c>
      <c r="D27" s="60"/>
      <c r="E27" s="60"/>
      <c r="F27" s="60"/>
      <c r="G27" s="60"/>
      <c r="H27" s="61"/>
      <c r="I27" s="25">
        <f t="shared" si="3"/>
        <v>18114.59</v>
      </c>
      <c r="J27" s="6">
        <v>3863.92</v>
      </c>
      <c r="K27" s="6">
        <v>713.08</v>
      </c>
      <c r="L27" s="3">
        <f t="shared" si="7"/>
        <v>4336.34</v>
      </c>
      <c r="M27" s="3">
        <f t="shared" si="1"/>
        <v>8913.34</v>
      </c>
      <c r="N27" s="36">
        <f t="shared" si="2"/>
        <v>9201.25</v>
      </c>
      <c r="O27" s="43"/>
      <c r="P27" s="44">
        <v>9201.25</v>
      </c>
    </row>
    <row r="28" spans="1:16" x14ac:dyDescent="0.25">
      <c r="A28" s="33" t="s">
        <v>16</v>
      </c>
      <c r="B28" s="28">
        <v>6781.65</v>
      </c>
      <c r="C28" s="54"/>
      <c r="D28" s="60"/>
      <c r="E28" s="60"/>
      <c r="F28" s="60"/>
      <c r="G28" s="60"/>
      <c r="H28" s="61"/>
      <c r="I28" s="25">
        <f t="shared" si="3"/>
        <v>6781.65</v>
      </c>
      <c r="J28" s="6">
        <v>695.22</v>
      </c>
      <c r="K28" s="6">
        <v>713.08</v>
      </c>
      <c r="L28" s="3">
        <f t="shared" si="7"/>
        <v>6.1199999999998909</v>
      </c>
      <c r="M28" s="3">
        <f t="shared" si="1"/>
        <v>1414.42</v>
      </c>
      <c r="N28" s="36">
        <f>SUM(I28-M28)+G28</f>
        <v>5367.23</v>
      </c>
      <c r="O28" s="43"/>
      <c r="P28" s="44">
        <v>5367.23</v>
      </c>
    </row>
    <row r="29" spans="1:16" x14ac:dyDescent="0.25">
      <c r="A29" s="33" t="s">
        <v>17</v>
      </c>
      <c r="B29" s="28">
        <v>7426.39</v>
      </c>
      <c r="C29" s="54"/>
      <c r="D29" s="60"/>
      <c r="E29" s="60"/>
      <c r="F29" s="60"/>
      <c r="G29" s="60"/>
      <c r="H29" s="61"/>
      <c r="I29" s="25">
        <f t="shared" si="3"/>
        <v>7426.39</v>
      </c>
      <c r="J29" s="6">
        <v>976.8</v>
      </c>
      <c r="K29" s="6">
        <v>713.08</v>
      </c>
      <c r="L29" s="3">
        <f t="shared" si="7"/>
        <v>6.1199999999998909</v>
      </c>
      <c r="M29" s="3">
        <f t="shared" si="1"/>
        <v>1696</v>
      </c>
      <c r="N29" s="36">
        <f t="shared" si="2"/>
        <v>5730.39</v>
      </c>
      <c r="O29" s="43"/>
      <c r="P29" s="44">
        <v>5730.39</v>
      </c>
    </row>
    <row r="30" spans="1:16" x14ac:dyDescent="0.25">
      <c r="A30" s="33" t="s">
        <v>18</v>
      </c>
      <c r="B30" s="28">
        <v>2361.31</v>
      </c>
      <c r="C30" s="54"/>
      <c r="D30" s="60"/>
      <c r="E30" s="60"/>
      <c r="F30" s="60"/>
      <c r="G30" s="60"/>
      <c r="H30" s="61"/>
      <c r="I30" s="25">
        <f t="shared" si="3"/>
        <v>2361.31</v>
      </c>
      <c r="J30" s="6">
        <v>12.21</v>
      </c>
      <c r="K30" s="6">
        <v>192.77</v>
      </c>
      <c r="L30" s="3">
        <f t="shared" si="7"/>
        <v>271.12999999999988</v>
      </c>
      <c r="M30" s="3">
        <f t="shared" si="1"/>
        <v>476.1099999999999</v>
      </c>
      <c r="N30" s="36">
        <f t="shared" si="2"/>
        <v>1885.2</v>
      </c>
      <c r="O30" s="43"/>
      <c r="P30" s="44">
        <v>1885.2</v>
      </c>
    </row>
    <row r="31" spans="1:16" x14ac:dyDescent="0.25">
      <c r="A31" s="33" t="s">
        <v>19</v>
      </c>
      <c r="B31" s="28">
        <v>5353.51</v>
      </c>
      <c r="C31" s="54">
        <v>1000</v>
      </c>
      <c r="D31" s="60"/>
      <c r="E31" s="60"/>
      <c r="F31" s="60"/>
      <c r="G31" s="60"/>
      <c r="H31" s="61"/>
      <c r="I31" s="25">
        <f t="shared" si="3"/>
        <v>6353.51</v>
      </c>
      <c r="J31" s="6">
        <v>577.48</v>
      </c>
      <c r="K31" s="6">
        <f>601.69+111.39</f>
        <v>713.08</v>
      </c>
      <c r="L31" s="3">
        <f t="shared" si="7"/>
        <v>678.04000000000087</v>
      </c>
      <c r="M31" s="3">
        <f t="shared" si="1"/>
        <v>1968.6000000000008</v>
      </c>
      <c r="N31" s="36">
        <f t="shared" si="2"/>
        <v>4384.91</v>
      </c>
      <c r="O31" s="43"/>
      <c r="P31" s="44">
        <v>4384.91</v>
      </c>
    </row>
    <row r="32" spans="1:16" x14ac:dyDescent="0.25">
      <c r="A32" s="33" t="s">
        <v>20</v>
      </c>
      <c r="B32" s="28">
        <v>6219.96</v>
      </c>
      <c r="C32" s="54"/>
      <c r="D32" s="60"/>
      <c r="E32" s="60"/>
      <c r="F32" s="60"/>
      <c r="G32" s="60"/>
      <c r="H32" s="61"/>
      <c r="I32" s="25">
        <f t="shared" si="3"/>
        <v>6219.96</v>
      </c>
      <c r="J32" s="6">
        <v>645.03</v>
      </c>
      <c r="K32" s="6">
        <v>713.08</v>
      </c>
      <c r="L32" s="3">
        <f t="shared" si="7"/>
        <v>223.51000000000022</v>
      </c>
      <c r="M32" s="3">
        <f t="shared" si="1"/>
        <v>1581.6200000000003</v>
      </c>
      <c r="N32" s="36">
        <f t="shared" si="2"/>
        <v>4638.34</v>
      </c>
      <c r="O32" s="43"/>
      <c r="P32" s="44">
        <v>4638.34</v>
      </c>
    </row>
    <row r="33" spans="1:16" x14ac:dyDescent="0.25">
      <c r="A33" s="33" t="s">
        <v>21</v>
      </c>
      <c r="B33" s="28">
        <v>7308.24</v>
      </c>
      <c r="C33" s="54"/>
      <c r="D33" s="60"/>
      <c r="E33" s="60"/>
      <c r="F33" s="60"/>
      <c r="G33" s="60"/>
      <c r="H33" s="61"/>
      <c r="I33" s="25">
        <f t="shared" si="3"/>
        <v>7308.24</v>
      </c>
      <c r="J33" s="6">
        <v>944.31</v>
      </c>
      <c r="K33" s="6">
        <f>479.64+233.44</f>
        <v>713.07999999999993</v>
      </c>
      <c r="L33" s="3">
        <f t="shared" si="7"/>
        <v>1352.5900000000001</v>
      </c>
      <c r="M33" s="3">
        <f t="shared" si="1"/>
        <v>3009.98</v>
      </c>
      <c r="N33" s="36">
        <f t="shared" si="2"/>
        <v>4298.26</v>
      </c>
      <c r="O33" s="43"/>
      <c r="P33" s="44">
        <v>4298.26</v>
      </c>
    </row>
    <row r="34" spans="1:16" x14ac:dyDescent="0.25">
      <c r="A34" s="33" t="s">
        <v>66</v>
      </c>
      <c r="B34" s="28">
        <f>4441.25+88.83</f>
        <v>4530.08</v>
      </c>
      <c r="C34" s="54"/>
      <c r="D34" s="60"/>
      <c r="E34" s="60"/>
      <c r="F34" s="60"/>
      <c r="G34" s="60"/>
      <c r="H34" s="61"/>
      <c r="I34" s="25">
        <f t="shared" si="3"/>
        <v>4530.08</v>
      </c>
      <c r="J34" s="6">
        <v>272.18</v>
      </c>
      <c r="K34" s="6">
        <v>493.15</v>
      </c>
      <c r="L34" s="3">
        <f t="shared" ref="L34" si="11">I34-J34-K34-P34</f>
        <v>41.049999999999727</v>
      </c>
      <c r="M34" s="3">
        <f t="shared" ref="M34" si="12">SUM(J34:L34)</f>
        <v>806.37999999999965</v>
      </c>
      <c r="N34" s="36">
        <f>SUM(I34-M34)+G34</f>
        <v>3723.7000000000003</v>
      </c>
      <c r="O34" s="43"/>
      <c r="P34" s="44">
        <v>3723.7</v>
      </c>
    </row>
    <row r="35" spans="1:16" x14ac:dyDescent="0.25">
      <c r="A35" s="33" t="s">
        <v>22</v>
      </c>
      <c r="B35" s="28">
        <v>2061.4699999999998</v>
      </c>
      <c r="C35" s="54"/>
      <c r="D35" s="60"/>
      <c r="E35" s="60"/>
      <c r="F35" s="60"/>
      <c r="G35" s="60"/>
      <c r="H35" s="61"/>
      <c r="I35" s="25">
        <f t="shared" si="3"/>
        <v>2061.4699999999998</v>
      </c>
      <c r="J35" s="6"/>
      <c r="K35" s="6">
        <v>169.13</v>
      </c>
      <c r="L35" s="3">
        <f t="shared" si="7"/>
        <v>120.09999999999968</v>
      </c>
      <c r="M35" s="3">
        <f t="shared" si="1"/>
        <v>289.22999999999968</v>
      </c>
      <c r="N35" s="36">
        <f>SUM(I35-M35)+G35</f>
        <v>1772.2400000000002</v>
      </c>
      <c r="O35" s="43"/>
      <c r="P35" s="44">
        <v>1772.24</v>
      </c>
    </row>
    <row r="36" spans="1:16" x14ac:dyDescent="0.25">
      <c r="A36" s="33" t="s">
        <v>23</v>
      </c>
      <c r="B36" s="28">
        <f>5021.09+723.04</f>
        <v>5744.13</v>
      </c>
      <c r="C36" s="54">
        <v>1004.22</v>
      </c>
      <c r="D36" s="60"/>
      <c r="E36" s="60"/>
      <c r="F36" s="60"/>
      <c r="G36" s="60"/>
      <c r="H36" s="61"/>
      <c r="I36" s="25">
        <f t="shared" si="3"/>
        <v>6748.35</v>
      </c>
      <c r="J36" s="6">
        <v>790.34</v>
      </c>
      <c r="K36" s="6">
        <f>229.92+483.16</f>
        <v>713.08</v>
      </c>
      <c r="L36" s="3">
        <f t="shared" si="7"/>
        <v>66.0600000000004</v>
      </c>
      <c r="M36" s="3">
        <f t="shared" si="1"/>
        <v>1569.4800000000005</v>
      </c>
      <c r="N36" s="36">
        <f t="shared" si="2"/>
        <v>5178.87</v>
      </c>
      <c r="O36" s="43"/>
      <c r="P36" s="44">
        <v>5178.87</v>
      </c>
    </row>
    <row r="37" spans="1:16" x14ac:dyDescent="0.25">
      <c r="A37" s="33" t="s">
        <v>24</v>
      </c>
      <c r="B37" s="28">
        <f>11980.55+3737.93</f>
        <v>15718.48</v>
      </c>
      <c r="C37" s="54">
        <v>2396.11</v>
      </c>
      <c r="D37" s="60"/>
      <c r="E37" s="60"/>
      <c r="F37" s="60"/>
      <c r="G37" s="60"/>
      <c r="H37" s="61"/>
      <c r="I37" s="25">
        <f t="shared" si="3"/>
        <v>18114.59</v>
      </c>
      <c r="J37" s="6">
        <v>3863.92</v>
      </c>
      <c r="K37" s="6">
        <v>713.08</v>
      </c>
      <c r="L37" s="3">
        <f t="shared" si="7"/>
        <v>547.92000000000007</v>
      </c>
      <c r="M37" s="3">
        <f t="shared" si="1"/>
        <v>5124.92</v>
      </c>
      <c r="N37" s="36">
        <f>SUM(I37-M37)+G37</f>
        <v>12989.67</v>
      </c>
      <c r="O37" s="43"/>
      <c r="P37" s="44">
        <v>12989.67</v>
      </c>
    </row>
    <row r="38" spans="1:16" x14ac:dyDescent="0.25">
      <c r="A38" s="33" t="s">
        <v>25</v>
      </c>
      <c r="B38" s="28">
        <f>11980.55+3450.4</f>
        <v>15430.949999999999</v>
      </c>
      <c r="C38" s="54">
        <v>2396.11</v>
      </c>
      <c r="D38" s="60"/>
      <c r="E38" s="60"/>
      <c r="F38" s="60"/>
      <c r="G38" s="60"/>
      <c r="H38" s="61"/>
      <c r="I38" s="25">
        <f t="shared" si="3"/>
        <v>17827.059999999998</v>
      </c>
      <c r="J38" s="6">
        <v>3784.85</v>
      </c>
      <c r="K38" s="6">
        <v>713.08</v>
      </c>
      <c r="L38" s="3">
        <f t="shared" si="7"/>
        <v>6.1199999999971624</v>
      </c>
      <c r="M38" s="3">
        <f t="shared" si="1"/>
        <v>4504.0499999999975</v>
      </c>
      <c r="N38" s="36">
        <f t="shared" si="2"/>
        <v>13323.01</v>
      </c>
      <c r="O38" s="43"/>
      <c r="P38" s="44">
        <v>13323.01</v>
      </c>
    </row>
    <row r="39" spans="1:16" x14ac:dyDescent="0.25">
      <c r="A39" s="33" t="s">
        <v>67</v>
      </c>
      <c r="B39" s="28">
        <f>4927.52+591.3</f>
        <v>5518.8200000000006</v>
      </c>
      <c r="C39" s="54">
        <v>985.5</v>
      </c>
      <c r="D39" s="60"/>
      <c r="E39" s="60"/>
      <c r="F39" s="60"/>
      <c r="G39" s="60"/>
      <c r="H39" s="61"/>
      <c r="I39" s="25">
        <f t="shared" si="3"/>
        <v>6504.3200000000006</v>
      </c>
      <c r="J39" s="6">
        <v>723.23</v>
      </c>
      <c r="K39" s="6">
        <v>713.08</v>
      </c>
      <c r="L39" s="3">
        <f t="shared" si="7"/>
        <v>200.14000000000033</v>
      </c>
      <c r="M39" s="3">
        <f t="shared" si="1"/>
        <v>1636.4500000000003</v>
      </c>
      <c r="N39" s="36">
        <f t="shared" si="2"/>
        <v>4867.8700000000008</v>
      </c>
      <c r="O39" s="43"/>
      <c r="P39" s="44">
        <v>4867.87</v>
      </c>
    </row>
    <row r="40" spans="1:16" x14ac:dyDescent="0.25">
      <c r="A40" s="33" t="s">
        <v>26</v>
      </c>
      <c r="B40" s="28">
        <f>4657.65+335.35</f>
        <v>4993</v>
      </c>
      <c r="C40" s="54">
        <v>931.53</v>
      </c>
      <c r="D40" s="60"/>
      <c r="E40" s="60"/>
      <c r="F40" s="60"/>
      <c r="G40" s="60"/>
      <c r="H40" s="61"/>
      <c r="I40" s="25">
        <f t="shared" si="3"/>
        <v>5924.53</v>
      </c>
      <c r="J40" s="6">
        <v>466.31</v>
      </c>
      <c r="K40" s="6">
        <v>688.37</v>
      </c>
      <c r="L40" s="3">
        <f t="shared" si="7"/>
        <v>1426.2599999999993</v>
      </c>
      <c r="M40" s="3">
        <f t="shared" si="1"/>
        <v>2580.9399999999996</v>
      </c>
      <c r="N40" s="36">
        <f>SUM(I40-M40)+G40</f>
        <v>3343.59</v>
      </c>
      <c r="O40" s="43"/>
      <c r="P40" s="44">
        <v>3343.59</v>
      </c>
    </row>
    <row r="41" spans="1:16" x14ac:dyDescent="0.25">
      <c r="A41" s="33" t="s">
        <v>64</v>
      </c>
      <c r="B41" s="28">
        <v>1881.14</v>
      </c>
      <c r="C41" s="54"/>
      <c r="D41" s="60"/>
      <c r="E41" s="60"/>
      <c r="F41" s="60"/>
      <c r="G41" s="60"/>
      <c r="H41" s="61"/>
      <c r="I41" s="25">
        <f t="shared" si="3"/>
        <v>1881.14</v>
      </c>
      <c r="J41" s="6"/>
      <c r="K41" s="6">
        <v>153.62</v>
      </c>
      <c r="L41" s="3">
        <f t="shared" ref="L41" si="13">I41-J41-K41-P41</f>
        <v>15.25</v>
      </c>
      <c r="M41" s="3">
        <f t="shared" ref="M41" si="14">SUM(J41:L41)</f>
        <v>168.87</v>
      </c>
      <c r="N41" s="36">
        <f t="shared" ref="N41" si="15">SUM(I41-M41)</f>
        <v>1712.27</v>
      </c>
      <c r="O41" s="43"/>
      <c r="P41" s="44">
        <v>1712.27</v>
      </c>
    </row>
    <row r="42" spans="1:16" x14ac:dyDescent="0.25">
      <c r="A42" s="33" t="s">
        <v>27</v>
      </c>
      <c r="B42" s="28">
        <v>3015.51</v>
      </c>
      <c r="C42" s="54"/>
      <c r="D42" s="60"/>
      <c r="E42" s="60"/>
      <c r="F42" s="60"/>
      <c r="G42" s="60"/>
      <c r="H42" s="61"/>
      <c r="I42" s="25">
        <f t="shared" si="3"/>
        <v>3015.51</v>
      </c>
      <c r="J42" s="6">
        <v>62.1</v>
      </c>
      <c r="K42" s="6">
        <v>283.49</v>
      </c>
      <c r="L42" s="3">
        <f t="shared" si="7"/>
        <v>825.94</v>
      </c>
      <c r="M42" s="3">
        <f t="shared" si="1"/>
        <v>1171.5300000000002</v>
      </c>
      <c r="N42" s="36">
        <f t="shared" si="2"/>
        <v>1843.98</v>
      </c>
      <c r="O42" s="43"/>
      <c r="P42" s="44">
        <v>1843.98</v>
      </c>
    </row>
    <row r="43" spans="1:16" ht="15.75" thickBot="1" x14ac:dyDescent="0.3">
      <c r="A43" s="33" t="s">
        <v>28</v>
      </c>
      <c r="B43" s="29">
        <f>11980.55+3594.17</f>
        <v>15574.72</v>
      </c>
      <c r="C43" s="55">
        <v>2396.11</v>
      </c>
      <c r="D43" s="60"/>
      <c r="E43" s="60"/>
      <c r="F43" s="60"/>
      <c r="G43" s="60"/>
      <c r="H43" s="61"/>
      <c r="I43" s="26">
        <f>SUM(B43:H43)</f>
        <v>17970.829999999998</v>
      </c>
      <c r="J43" s="6">
        <v>3772.25</v>
      </c>
      <c r="K43" s="6">
        <v>713.08</v>
      </c>
      <c r="L43" s="3">
        <f t="shared" si="7"/>
        <v>63.119999999998981</v>
      </c>
      <c r="M43" s="3">
        <f t="shared" si="1"/>
        <v>4548.4499999999989</v>
      </c>
      <c r="N43" s="37">
        <f t="shared" si="2"/>
        <v>13422.38</v>
      </c>
      <c r="O43" s="43"/>
      <c r="P43" s="44">
        <v>13422.38</v>
      </c>
    </row>
    <row r="44" spans="1:16" x14ac:dyDescent="0.25">
      <c r="A44" s="67" t="s">
        <v>56</v>
      </c>
      <c r="B44" s="69" t="s">
        <v>46</v>
      </c>
      <c r="C44" s="73" t="s">
        <v>76</v>
      </c>
      <c r="D44" s="71" t="s">
        <v>47</v>
      </c>
      <c r="E44" s="71" t="s">
        <v>77</v>
      </c>
      <c r="F44" s="49" t="s">
        <v>78</v>
      </c>
      <c r="G44" s="51" t="s">
        <v>80</v>
      </c>
      <c r="H44" s="20" t="s">
        <v>59</v>
      </c>
      <c r="I44" s="39" t="s">
        <v>48</v>
      </c>
      <c r="J44" s="90" t="s">
        <v>50</v>
      </c>
      <c r="K44" s="90" t="s">
        <v>51</v>
      </c>
      <c r="L44" s="20" t="s">
        <v>52</v>
      </c>
      <c r="M44" s="20" t="s">
        <v>54</v>
      </c>
      <c r="N44" s="41" t="s">
        <v>48</v>
      </c>
      <c r="O44" s="46"/>
      <c r="P44" s="46"/>
    </row>
    <row r="45" spans="1:16" ht="15.75" thickBot="1" x14ac:dyDescent="0.3">
      <c r="A45" s="68"/>
      <c r="B45" s="70"/>
      <c r="C45" s="74"/>
      <c r="D45" s="72"/>
      <c r="E45" s="72"/>
      <c r="F45" s="50" t="s">
        <v>79</v>
      </c>
      <c r="G45" s="52" t="s">
        <v>61</v>
      </c>
      <c r="H45" s="21" t="s">
        <v>60</v>
      </c>
      <c r="I45" s="40" t="s">
        <v>49</v>
      </c>
      <c r="J45" s="91"/>
      <c r="K45" s="91"/>
      <c r="L45" s="21" t="s">
        <v>53</v>
      </c>
      <c r="M45" s="21" t="s">
        <v>53</v>
      </c>
      <c r="N45" s="42" t="s">
        <v>55</v>
      </c>
      <c r="O45" s="46"/>
      <c r="P45" s="46"/>
    </row>
    <row r="46" spans="1:16" x14ac:dyDescent="0.25">
      <c r="A46" s="33" t="s">
        <v>29</v>
      </c>
      <c r="B46" s="31">
        <v>2069.3000000000002</v>
      </c>
      <c r="C46" s="56"/>
      <c r="D46" s="60"/>
      <c r="E46" s="60"/>
      <c r="F46" s="60"/>
      <c r="G46" s="60"/>
      <c r="H46" s="61"/>
      <c r="I46" s="30">
        <f>SUM(B46:H46)</f>
        <v>2069.3000000000002</v>
      </c>
      <c r="J46" s="6"/>
      <c r="K46" s="6">
        <v>170.55</v>
      </c>
      <c r="L46" s="3">
        <f t="shared" ref="L46:L66" si="16">I46-J46-K46-P46</f>
        <v>726.38000000000034</v>
      </c>
      <c r="M46" s="3">
        <f t="shared" si="1"/>
        <v>896.93000000000029</v>
      </c>
      <c r="N46" s="38">
        <f t="shared" si="2"/>
        <v>1172.3699999999999</v>
      </c>
      <c r="O46" s="43"/>
      <c r="P46" s="44">
        <v>1172.3699999999999</v>
      </c>
    </row>
    <row r="47" spans="1:16" x14ac:dyDescent="0.25">
      <c r="A47" s="33" t="s">
        <v>30</v>
      </c>
      <c r="B47" s="28">
        <v>4225.22</v>
      </c>
      <c r="C47" s="54"/>
      <c r="D47" s="60"/>
      <c r="E47" s="60"/>
      <c r="F47" s="60"/>
      <c r="G47" s="60"/>
      <c r="H47" s="62"/>
      <c r="I47" s="25">
        <f>SUM(B47:H47)</f>
        <v>4225.22</v>
      </c>
      <c r="J47" s="6">
        <v>213.19</v>
      </c>
      <c r="K47" s="6">
        <v>450.46</v>
      </c>
      <c r="L47" s="3">
        <f t="shared" si="16"/>
        <v>455.62000000000035</v>
      </c>
      <c r="M47" s="3">
        <f t="shared" si="1"/>
        <v>1119.2700000000004</v>
      </c>
      <c r="N47" s="36">
        <f t="shared" si="2"/>
        <v>3105.95</v>
      </c>
      <c r="O47" s="43"/>
      <c r="P47" s="44">
        <v>3105.95</v>
      </c>
    </row>
    <row r="48" spans="1:16" x14ac:dyDescent="0.25">
      <c r="A48" s="33" t="s">
        <v>31</v>
      </c>
      <c r="B48" s="28">
        <f>7858.53+1100.19</f>
        <v>8958.7199999999993</v>
      </c>
      <c r="C48" s="54"/>
      <c r="D48" s="60"/>
      <c r="E48" s="60"/>
      <c r="F48" s="60"/>
      <c r="G48" s="60"/>
      <c r="H48" s="62">
        <v>6333.65</v>
      </c>
      <c r="I48" s="25">
        <f t="shared" ref="I48:I65" si="17">SUM(B48:H48)</f>
        <v>15292.369999999999</v>
      </c>
      <c r="J48" s="6">
        <v>3087.81</v>
      </c>
      <c r="K48" s="6">
        <v>713.08</v>
      </c>
      <c r="L48" s="3">
        <f t="shared" si="16"/>
        <v>688.61999999999898</v>
      </c>
      <c r="M48" s="3">
        <f t="shared" si="1"/>
        <v>4489.5099999999984</v>
      </c>
      <c r="N48" s="36">
        <f t="shared" si="2"/>
        <v>10802.86</v>
      </c>
      <c r="O48" s="43"/>
      <c r="P48" s="44">
        <v>10802.86</v>
      </c>
    </row>
    <row r="49" spans="1:16" x14ac:dyDescent="0.25">
      <c r="A49" s="33" t="s">
        <v>32</v>
      </c>
      <c r="B49" s="28">
        <f>5288.3+1776.87</f>
        <v>7065.17</v>
      </c>
      <c r="C49" s="54">
        <v>2115.3200000000002</v>
      </c>
      <c r="D49" s="60"/>
      <c r="E49" s="60"/>
      <c r="F49" s="60"/>
      <c r="G49" s="60"/>
      <c r="H49" s="62"/>
      <c r="I49" s="25">
        <f t="shared" si="17"/>
        <v>9180.49</v>
      </c>
      <c r="J49" s="6">
        <v>1354.9</v>
      </c>
      <c r="K49" s="6">
        <f>550.64+162.44</f>
        <v>713.07999999999993</v>
      </c>
      <c r="L49" s="3">
        <f>I49-J49-K49-P49</f>
        <v>877.18000000000029</v>
      </c>
      <c r="M49" s="3">
        <f>SUM(J49:L49)</f>
        <v>2945.1600000000003</v>
      </c>
      <c r="N49" s="36">
        <f t="shared" si="2"/>
        <v>6235.33</v>
      </c>
      <c r="O49" s="43"/>
      <c r="P49" s="44">
        <v>6235.33</v>
      </c>
    </row>
    <row r="50" spans="1:16" x14ac:dyDescent="0.25">
      <c r="A50" s="33" t="s">
        <v>33</v>
      </c>
      <c r="B50" s="28">
        <f>4927.52+827.82</f>
        <v>5755.34</v>
      </c>
      <c r="C50" s="54">
        <v>985.5</v>
      </c>
      <c r="D50" s="60"/>
      <c r="E50" s="60"/>
      <c r="F50" s="60"/>
      <c r="G50" s="60"/>
      <c r="H50" s="62"/>
      <c r="I50" s="25">
        <f t="shared" si="17"/>
        <v>6740.84</v>
      </c>
      <c r="J50" s="6">
        <v>684</v>
      </c>
      <c r="K50" s="6">
        <f>435.1+277.98</f>
        <v>713.08</v>
      </c>
      <c r="L50" s="3">
        <f t="shared" si="16"/>
        <v>443.76000000000022</v>
      </c>
      <c r="M50" s="3">
        <f t="shared" si="1"/>
        <v>1840.8400000000001</v>
      </c>
      <c r="N50" s="36">
        <f t="shared" si="2"/>
        <v>4900</v>
      </c>
      <c r="O50" s="43"/>
      <c r="P50" s="44">
        <v>4900</v>
      </c>
    </row>
    <row r="51" spans="1:16" x14ac:dyDescent="0.25">
      <c r="A51" s="33" t="s">
        <v>34</v>
      </c>
      <c r="B51" s="28">
        <v>6876.86</v>
      </c>
      <c r="C51" s="54"/>
      <c r="D51" s="60"/>
      <c r="E51" s="60"/>
      <c r="F51" s="60"/>
      <c r="G51" s="60"/>
      <c r="H51" s="62"/>
      <c r="I51" s="25">
        <f t="shared" si="17"/>
        <v>6876.86</v>
      </c>
      <c r="J51" s="6">
        <v>773.54</v>
      </c>
      <c r="K51" s="6">
        <v>713.08</v>
      </c>
      <c r="L51" s="3">
        <f t="shared" si="16"/>
        <v>893.77999999999975</v>
      </c>
      <c r="M51" s="3">
        <f t="shared" si="1"/>
        <v>2380.3999999999996</v>
      </c>
      <c r="N51" s="36">
        <f>SUM(I51-M51)+G51</f>
        <v>4496.46</v>
      </c>
      <c r="O51" s="43"/>
      <c r="P51" s="44">
        <v>4496.46</v>
      </c>
    </row>
    <row r="52" spans="1:16" x14ac:dyDescent="0.25">
      <c r="A52" s="33" t="s">
        <v>35</v>
      </c>
      <c r="B52" s="28">
        <f>4927.52+591.3</f>
        <v>5518.8200000000006</v>
      </c>
      <c r="C52" s="54">
        <v>985.5</v>
      </c>
      <c r="D52" s="60"/>
      <c r="E52" s="60"/>
      <c r="F52" s="60"/>
      <c r="G52" s="60"/>
      <c r="H52" s="62"/>
      <c r="I52" s="25">
        <f t="shared" si="17"/>
        <v>6504.3200000000006</v>
      </c>
      <c r="J52" s="6">
        <v>671.09</v>
      </c>
      <c r="K52" s="6">
        <f>250.42+462.66</f>
        <v>713.08</v>
      </c>
      <c r="L52" s="3">
        <f t="shared" si="16"/>
        <v>1484.7800000000007</v>
      </c>
      <c r="M52" s="3">
        <f t="shared" si="1"/>
        <v>2868.9500000000007</v>
      </c>
      <c r="N52" s="36">
        <f>SUM(I52-M52)+G52</f>
        <v>3635.37</v>
      </c>
      <c r="O52" s="43"/>
      <c r="P52" s="44">
        <v>3635.37</v>
      </c>
    </row>
    <row r="53" spans="1:16" x14ac:dyDescent="0.25">
      <c r="A53" s="33" t="s">
        <v>36</v>
      </c>
      <c r="B53" s="28">
        <v>4183.3999999999996</v>
      </c>
      <c r="C53" s="54"/>
      <c r="D53" s="60"/>
      <c r="E53" s="60"/>
      <c r="F53" s="60"/>
      <c r="G53" s="60"/>
      <c r="H53" s="62"/>
      <c r="I53" s="25">
        <f t="shared" si="17"/>
        <v>4183.3999999999996</v>
      </c>
      <c r="J53" s="6">
        <v>149.13999999999999</v>
      </c>
      <c r="K53" s="6">
        <v>444.61</v>
      </c>
      <c r="L53" s="3">
        <f t="shared" si="16"/>
        <v>689.08999999999969</v>
      </c>
      <c r="M53" s="3">
        <f t="shared" si="1"/>
        <v>1282.8399999999997</v>
      </c>
      <c r="N53" s="36">
        <f t="shared" si="2"/>
        <v>2900.56</v>
      </c>
      <c r="O53" s="43"/>
      <c r="P53" s="44">
        <v>2900.56</v>
      </c>
    </row>
    <row r="54" spans="1:16" x14ac:dyDescent="0.25">
      <c r="A54" s="33" t="s">
        <v>74</v>
      </c>
      <c r="B54" s="28">
        <f>1667.71+116.74</f>
        <v>1784.45</v>
      </c>
      <c r="C54" s="54"/>
      <c r="D54" s="60"/>
      <c r="E54" s="60">
        <f>606.44+42.45+216.3</f>
        <v>865.19</v>
      </c>
      <c r="F54" s="60"/>
      <c r="G54" s="60"/>
      <c r="H54" s="62"/>
      <c r="I54" s="25">
        <f t="shared" si="17"/>
        <v>2649.6400000000003</v>
      </c>
      <c r="J54" s="6"/>
      <c r="K54" s="6">
        <f>174.7+64.88</f>
        <v>239.57999999999998</v>
      </c>
      <c r="L54" s="3">
        <f t="shared" si="16"/>
        <v>806.43000000000029</v>
      </c>
      <c r="M54" s="3">
        <f t="shared" si="1"/>
        <v>1046.0100000000002</v>
      </c>
      <c r="N54" s="36">
        <f t="shared" si="2"/>
        <v>1603.63</v>
      </c>
      <c r="O54" s="43"/>
      <c r="P54" s="44">
        <v>1603.63</v>
      </c>
    </row>
    <row r="55" spans="1:16" x14ac:dyDescent="0.25">
      <c r="A55" s="33" t="s">
        <v>37</v>
      </c>
      <c r="B55" s="28">
        <f>12454.51+9465.43</f>
        <v>21919.940000000002</v>
      </c>
      <c r="C55" s="54">
        <v>12454.51</v>
      </c>
      <c r="D55" s="60"/>
      <c r="E55" s="60"/>
      <c r="F55" s="60"/>
      <c r="G55" s="60"/>
      <c r="H55" s="62"/>
      <c r="I55" s="25">
        <f t="shared" si="17"/>
        <v>34374.450000000004</v>
      </c>
      <c r="J55" s="6">
        <v>8387.52</v>
      </c>
      <c r="K55" s="6">
        <v>713.08</v>
      </c>
      <c r="L55" s="3">
        <f t="shared" si="16"/>
        <v>309.16000000000349</v>
      </c>
      <c r="M55" s="3">
        <f t="shared" si="1"/>
        <v>9409.7600000000039</v>
      </c>
      <c r="N55" s="36">
        <f t="shared" si="2"/>
        <v>24964.690000000002</v>
      </c>
      <c r="O55" s="43"/>
      <c r="P55" s="44">
        <v>24964.69</v>
      </c>
    </row>
    <row r="56" spans="1:16" x14ac:dyDescent="0.25">
      <c r="A56" s="33" t="s">
        <v>38</v>
      </c>
      <c r="B56" s="28">
        <f>4927.52+709.56</f>
        <v>5637.08</v>
      </c>
      <c r="C56" s="54">
        <v>985.5</v>
      </c>
      <c r="D56" s="60"/>
      <c r="E56" s="60"/>
      <c r="F56" s="60"/>
      <c r="G56" s="60"/>
      <c r="H56" s="62"/>
      <c r="I56" s="25">
        <f t="shared" si="17"/>
        <v>6622.58</v>
      </c>
      <c r="J56" s="6">
        <v>703.62</v>
      </c>
      <c r="K56" s="6">
        <f>37.36+675.72</f>
        <v>713.08</v>
      </c>
      <c r="L56" s="3">
        <f t="shared" si="16"/>
        <v>207.5</v>
      </c>
      <c r="M56" s="3">
        <f t="shared" si="1"/>
        <v>1624.2</v>
      </c>
      <c r="N56" s="36">
        <f t="shared" si="2"/>
        <v>4998.38</v>
      </c>
      <c r="O56" s="43"/>
      <c r="P56" s="44">
        <v>4998.38</v>
      </c>
    </row>
    <row r="57" spans="1:16" x14ac:dyDescent="0.25">
      <c r="A57" s="33" t="s">
        <v>39</v>
      </c>
      <c r="B57" s="28">
        <v>5515.73</v>
      </c>
      <c r="C57" s="54"/>
      <c r="D57" s="60"/>
      <c r="E57" s="60"/>
      <c r="F57" s="60"/>
      <c r="G57" s="60"/>
      <c r="H57" s="62"/>
      <c r="I57" s="25">
        <f t="shared" si="17"/>
        <v>5515.73</v>
      </c>
      <c r="J57" s="6">
        <v>421.77</v>
      </c>
      <c r="K57" s="6">
        <v>631.13</v>
      </c>
      <c r="L57" s="3">
        <f t="shared" si="16"/>
        <v>789.16999999999916</v>
      </c>
      <c r="M57" s="3">
        <f t="shared" si="1"/>
        <v>1842.0699999999993</v>
      </c>
      <c r="N57" s="36">
        <f t="shared" si="2"/>
        <v>3673.6600000000003</v>
      </c>
      <c r="O57" s="43"/>
      <c r="P57" s="44">
        <v>3673.66</v>
      </c>
    </row>
    <row r="58" spans="1:16" x14ac:dyDescent="0.25">
      <c r="A58" s="33" t="s">
        <v>63</v>
      </c>
      <c r="B58" s="28">
        <v>1881.14</v>
      </c>
      <c r="C58" s="54"/>
      <c r="D58" s="60"/>
      <c r="E58" s="60"/>
      <c r="F58" s="60"/>
      <c r="G58" s="60"/>
      <c r="H58" s="62"/>
      <c r="I58" s="25">
        <f t="shared" si="17"/>
        <v>1881.14</v>
      </c>
      <c r="J58" s="6"/>
      <c r="K58" s="6">
        <v>153.62</v>
      </c>
      <c r="L58" s="3">
        <f t="shared" ref="L58" si="18">I58-J58-K58-P58</f>
        <v>6.1199999999998909</v>
      </c>
      <c r="M58" s="3">
        <f t="shared" ref="M58" si="19">SUM(J58:L58)</f>
        <v>159.7399999999999</v>
      </c>
      <c r="N58" s="36">
        <f t="shared" ref="N58" si="20">SUM(I58-M58)</f>
        <v>1721.4</v>
      </c>
      <c r="O58" s="43"/>
      <c r="P58" s="44">
        <v>1721.4</v>
      </c>
    </row>
    <row r="59" spans="1:16" x14ac:dyDescent="0.25">
      <c r="A59" s="33" t="s">
        <v>40</v>
      </c>
      <c r="B59" s="28">
        <f>11980.55+4025.46</f>
        <v>16006.009999999998</v>
      </c>
      <c r="C59" s="54">
        <v>2396.11</v>
      </c>
      <c r="D59" s="60"/>
      <c r="E59" s="60"/>
      <c r="F59" s="60"/>
      <c r="G59" s="60"/>
      <c r="H59" s="62"/>
      <c r="I59" s="25">
        <f t="shared" si="17"/>
        <v>18402.12</v>
      </c>
      <c r="J59" s="6">
        <v>3995.13</v>
      </c>
      <c r="K59" s="6">
        <f>249.58+463.5</f>
        <v>713.08</v>
      </c>
      <c r="L59" s="3">
        <f t="shared" si="16"/>
        <v>6.1199999999971624</v>
      </c>
      <c r="M59" s="3">
        <f t="shared" si="1"/>
        <v>4714.3299999999972</v>
      </c>
      <c r="N59" s="36">
        <f>SUM(I59-M59)+G59</f>
        <v>13687.79</v>
      </c>
      <c r="O59" s="43"/>
      <c r="P59" s="44">
        <v>13687.79</v>
      </c>
    </row>
    <row r="60" spans="1:16" x14ac:dyDescent="0.25">
      <c r="A60" s="33" t="s">
        <v>41</v>
      </c>
      <c r="B60" s="28">
        <v>2160.0700000000002</v>
      </c>
      <c r="C60" s="54"/>
      <c r="D60" s="60"/>
      <c r="E60" s="60"/>
      <c r="F60" s="60"/>
      <c r="G60" s="60"/>
      <c r="H60" s="62"/>
      <c r="I60" s="25">
        <f t="shared" si="17"/>
        <v>2160.0700000000002</v>
      </c>
      <c r="J60" s="6"/>
      <c r="K60" s="6">
        <v>180.83</v>
      </c>
      <c r="L60" s="3">
        <f t="shared" si="16"/>
        <v>35.550000000000182</v>
      </c>
      <c r="M60" s="3">
        <f t="shared" si="1"/>
        <v>216.38000000000019</v>
      </c>
      <c r="N60" s="36">
        <f t="shared" si="2"/>
        <v>1943.69</v>
      </c>
      <c r="O60" s="43"/>
      <c r="P60" s="44">
        <v>1943.69</v>
      </c>
    </row>
    <row r="61" spans="1:16" x14ac:dyDescent="0.25">
      <c r="A61" s="33" t="s">
        <v>42</v>
      </c>
      <c r="B61" s="28">
        <f>8993.6+3345.62</f>
        <v>12339.220000000001</v>
      </c>
      <c r="C61" s="54">
        <v>1798.72</v>
      </c>
      <c r="D61" s="60"/>
      <c r="E61" s="60">
        <f>276.73+1383.63+514.71+725.02</f>
        <v>2900.09</v>
      </c>
      <c r="F61" s="60"/>
      <c r="G61" s="60"/>
      <c r="H61" s="62"/>
      <c r="I61" s="25">
        <f t="shared" si="17"/>
        <v>17038.03</v>
      </c>
      <c r="J61" s="6">
        <v>2798.82</v>
      </c>
      <c r="K61" s="6">
        <v>713.08</v>
      </c>
      <c r="L61" s="3">
        <f t="shared" si="16"/>
        <v>4042.08</v>
      </c>
      <c r="M61" s="3">
        <f t="shared" si="1"/>
        <v>7553.98</v>
      </c>
      <c r="N61" s="36">
        <f>SUM(I61-M61)+G61</f>
        <v>9484.0499999999993</v>
      </c>
      <c r="O61" s="43"/>
      <c r="P61" s="44">
        <v>9484.0499999999993</v>
      </c>
    </row>
    <row r="62" spans="1:16" x14ac:dyDescent="0.25">
      <c r="A62" s="33" t="s">
        <v>43</v>
      </c>
      <c r="B62" s="28">
        <f>3380.94+946.66</f>
        <v>4327.6000000000004</v>
      </c>
      <c r="C62" s="54"/>
      <c r="D62" s="60"/>
      <c r="E62" s="60">
        <f>520.14+145.64+221.93</f>
        <v>887.71</v>
      </c>
      <c r="F62" s="60"/>
      <c r="G62" s="60"/>
      <c r="H62" s="62"/>
      <c r="I62" s="25">
        <f t="shared" si="17"/>
        <v>5215.3100000000004</v>
      </c>
      <c r="J62" s="6">
        <v>187.64</v>
      </c>
      <c r="K62" s="6">
        <f>521.73+67.34</f>
        <v>589.07000000000005</v>
      </c>
      <c r="L62" s="3">
        <f t="shared" si="16"/>
        <v>2747.4000000000005</v>
      </c>
      <c r="M62" s="3">
        <f t="shared" si="1"/>
        <v>3524.1100000000006</v>
      </c>
      <c r="N62" s="36">
        <f t="shared" si="2"/>
        <v>1691.1999999999998</v>
      </c>
      <c r="O62" s="43"/>
      <c r="P62" s="44">
        <v>1691.2</v>
      </c>
    </row>
    <row r="63" spans="1:16" x14ac:dyDescent="0.25">
      <c r="A63" s="33" t="s">
        <v>44</v>
      </c>
      <c r="B63" s="28">
        <v>2008.02</v>
      </c>
      <c r="C63" s="54"/>
      <c r="D63" s="60"/>
      <c r="E63" s="60"/>
      <c r="F63" s="60"/>
      <c r="G63" s="60"/>
      <c r="H63" s="62"/>
      <c r="I63" s="25">
        <f t="shared" si="17"/>
        <v>2008.02</v>
      </c>
      <c r="J63" s="6"/>
      <c r="K63" s="6">
        <v>165.04</v>
      </c>
      <c r="L63" s="3">
        <f t="shared" si="16"/>
        <v>66.970000000000027</v>
      </c>
      <c r="M63" s="3">
        <f t="shared" si="1"/>
        <v>232.01000000000002</v>
      </c>
      <c r="N63" s="36">
        <f t="shared" si="2"/>
        <v>1776.01</v>
      </c>
      <c r="O63" s="43"/>
      <c r="P63" s="44">
        <v>1776.01</v>
      </c>
    </row>
    <row r="64" spans="1:16" x14ac:dyDescent="0.25">
      <c r="A64" s="33" t="s">
        <v>75</v>
      </c>
      <c r="B64" s="28">
        <v>4033.32</v>
      </c>
      <c r="C64" s="54"/>
      <c r="D64" s="60"/>
      <c r="E64" s="60"/>
      <c r="F64" s="60"/>
      <c r="G64" s="60"/>
      <c r="H64" s="62"/>
      <c r="I64" s="25">
        <f t="shared" si="17"/>
        <v>4033.32</v>
      </c>
      <c r="J64" s="6">
        <v>186.66</v>
      </c>
      <c r="K64" s="6">
        <v>423.59</v>
      </c>
      <c r="L64" s="3">
        <f t="shared" ref="L64" si="21">I64-J64-K64-P64</f>
        <v>1009.5500000000002</v>
      </c>
      <c r="M64" s="3">
        <f t="shared" ref="M64" si="22">SUM(J64:L64)</f>
        <v>1619.8000000000002</v>
      </c>
      <c r="N64" s="36">
        <f t="shared" ref="N64" si="23">SUM(I64-M64)</f>
        <v>2413.52</v>
      </c>
      <c r="O64" s="43"/>
      <c r="P64" s="44">
        <v>2413.52</v>
      </c>
    </row>
    <row r="65" spans="1:16" x14ac:dyDescent="0.25">
      <c r="A65" s="33" t="s">
        <v>73</v>
      </c>
      <c r="B65" s="28">
        <f>1755.42+17.55</f>
        <v>1772.97</v>
      </c>
      <c r="C65" s="54"/>
      <c r="D65" s="60"/>
      <c r="E65" s="60"/>
      <c r="F65" s="60"/>
      <c r="G65" s="60"/>
      <c r="H65" s="62"/>
      <c r="I65" s="25">
        <f t="shared" si="17"/>
        <v>1772.97</v>
      </c>
      <c r="J65" s="6"/>
      <c r="K65" s="6">
        <v>143.88</v>
      </c>
      <c r="L65" s="3">
        <f t="shared" ref="L65" si="24">I65-J65-K65-P65</f>
        <v>131.41000000000008</v>
      </c>
      <c r="M65" s="3">
        <f t="shared" ref="M65" si="25">SUM(J65:L65)</f>
        <v>275.29000000000008</v>
      </c>
      <c r="N65" s="36">
        <f t="shared" ref="N65" si="26">SUM(I65-M65)</f>
        <v>1497.6799999999998</v>
      </c>
      <c r="O65" s="43"/>
      <c r="P65" s="44">
        <v>1497.68</v>
      </c>
    </row>
    <row r="66" spans="1:16" ht="15.75" thickBot="1" x14ac:dyDescent="0.3">
      <c r="A66" s="34" t="s">
        <v>45</v>
      </c>
      <c r="B66" s="29">
        <f>8015.71+1154.26</f>
        <v>9169.9699999999993</v>
      </c>
      <c r="C66" s="57">
        <v>1603.14</v>
      </c>
      <c r="D66" s="63"/>
      <c r="E66" s="63"/>
      <c r="F66" s="63"/>
      <c r="G66" s="63"/>
      <c r="H66" s="64">
        <v>6333.64</v>
      </c>
      <c r="I66" s="26">
        <f>SUM(B66:H66)</f>
        <v>17106.75</v>
      </c>
      <c r="J66" s="22">
        <v>3586.76</v>
      </c>
      <c r="K66" s="22">
        <v>713.08</v>
      </c>
      <c r="L66" s="23">
        <f t="shared" si="16"/>
        <v>68.920000000000073</v>
      </c>
      <c r="M66" s="23">
        <f t="shared" si="1"/>
        <v>4368.76</v>
      </c>
      <c r="N66" s="37">
        <f t="shared" si="2"/>
        <v>12737.99</v>
      </c>
      <c r="O66" s="43"/>
      <c r="P66" s="44">
        <v>12737.99</v>
      </c>
    </row>
    <row r="67" spans="1:16" ht="15.75" thickBot="1" x14ac:dyDescent="0.3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</row>
    <row r="68" spans="1:16" x14ac:dyDescent="0.25">
      <c r="A68" s="87" t="s">
        <v>87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9"/>
    </row>
    <row r="69" spans="1:16" x14ac:dyDescent="0.25">
      <c r="A69" s="75" t="s">
        <v>85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7"/>
    </row>
    <row r="70" spans="1:16" ht="5.25" customHeight="1" x14ac:dyDescent="0.25">
      <c r="A70" s="78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80"/>
    </row>
    <row r="71" spans="1:16" x14ac:dyDescent="0.25">
      <c r="A71" s="81" t="s">
        <v>86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3"/>
    </row>
    <row r="72" spans="1:16" x14ac:dyDescent="0.25">
      <c r="A72" s="84" t="s">
        <v>81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6"/>
    </row>
    <row r="73" spans="1:16" x14ac:dyDescent="0.25">
      <c r="A73" s="84" t="s">
        <v>82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6"/>
    </row>
    <row r="74" spans="1:16" x14ac:dyDescent="0.25">
      <c r="A74" s="84" t="s">
        <v>83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6"/>
    </row>
    <row r="75" spans="1:16" ht="15.75" thickBot="1" x14ac:dyDescent="0.3">
      <c r="A75" s="99" t="s">
        <v>84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6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6" x14ac:dyDescent="0.25">
      <c r="A77" s="11"/>
      <c r="B77" s="8"/>
      <c r="C77" s="48"/>
      <c r="D77" s="8"/>
      <c r="E77" s="48"/>
      <c r="F77" s="48"/>
      <c r="G77" s="8"/>
      <c r="H77" s="8"/>
      <c r="I77" s="8"/>
      <c r="J77" s="8"/>
      <c r="K77" s="8"/>
      <c r="L77" s="8"/>
      <c r="M77" s="8"/>
      <c r="N77" s="8"/>
    </row>
    <row r="78" spans="1:16" ht="15.75" thickBot="1" x14ac:dyDescent="0.3">
      <c r="A78" s="9"/>
      <c r="B78" s="8"/>
      <c r="C78" s="48"/>
      <c r="D78" s="8"/>
      <c r="E78" s="48"/>
      <c r="F78" s="48"/>
      <c r="G78" s="8"/>
      <c r="H78" s="8"/>
      <c r="I78" s="8"/>
      <c r="J78" s="8"/>
      <c r="K78" s="8"/>
      <c r="L78" s="8"/>
      <c r="M78" s="8"/>
      <c r="N78" s="8"/>
    </row>
    <row r="79" spans="1:16" ht="15.75" x14ac:dyDescent="0.25">
      <c r="A79" s="10"/>
      <c r="B79" s="10"/>
      <c r="C79" s="10"/>
      <c r="D79" s="10"/>
      <c r="E79" s="10"/>
      <c r="F79" s="10"/>
      <c r="G79" s="10"/>
      <c r="H79" s="10"/>
      <c r="I79" s="13" t="s">
        <v>68</v>
      </c>
      <c r="J79" s="14" t="s">
        <v>69</v>
      </c>
      <c r="K79" s="14" t="s">
        <v>51</v>
      </c>
      <c r="L79" s="93" t="s">
        <v>70</v>
      </c>
      <c r="M79" s="94"/>
    </row>
    <row r="80" spans="1:16" x14ac:dyDescent="0.25">
      <c r="A80" s="7"/>
      <c r="B80" s="7"/>
      <c r="C80" s="7"/>
      <c r="D80" s="7"/>
      <c r="E80" s="7"/>
      <c r="F80" s="7"/>
      <c r="G80" s="7"/>
      <c r="H80" s="7"/>
      <c r="I80" s="15">
        <f>SUM(I7:I43)</f>
        <v>324802.91000000003</v>
      </c>
      <c r="J80" s="16">
        <f>SUM(J7:J43)</f>
        <v>54619.709999999992</v>
      </c>
      <c r="K80" s="16">
        <f>SUM(K7:K43)</f>
        <v>18987.020000000004</v>
      </c>
      <c r="L80" s="95">
        <f>SUM(N7:N43)</f>
        <v>230745.54000000007</v>
      </c>
      <c r="M80" s="96"/>
    </row>
    <row r="81" spans="1:14" x14ac:dyDescent="0.25">
      <c r="A81" s="7"/>
      <c r="B81" s="7"/>
      <c r="C81" s="7"/>
      <c r="D81" s="7"/>
      <c r="E81" s="7"/>
      <c r="F81" s="7"/>
      <c r="G81" s="7"/>
      <c r="H81" s="7"/>
      <c r="I81" s="15">
        <f>SUM(I46:I66)</f>
        <v>173852.93</v>
      </c>
      <c r="J81" s="16">
        <f>SUM(J46:J66)</f>
        <v>27201.590000000004</v>
      </c>
      <c r="K81" s="16">
        <f>SUM(K46:K66)</f>
        <v>10723.16</v>
      </c>
      <c r="L81" s="95">
        <f>SUM(N46:N66)</f>
        <v>119442.59000000001</v>
      </c>
      <c r="M81" s="96"/>
    </row>
    <row r="82" spans="1:14" ht="16.5" thickBot="1" x14ac:dyDescent="0.3">
      <c r="A82" s="7"/>
      <c r="B82" s="7"/>
      <c r="C82" s="7"/>
      <c r="D82" s="7"/>
      <c r="E82" s="7"/>
      <c r="F82" s="7"/>
      <c r="G82" s="4"/>
      <c r="H82" s="7"/>
      <c r="I82" s="17">
        <f>SUM(I80:I81)</f>
        <v>498655.84</v>
      </c>
      <c r="J82" s="18">
        <f>SUM(J80:J81)</f>
        <v>81821.299999999988</v>
      </c>
      <c r="K82" s="18">
        <f>SUM(K80:K81)</f>
        <v>29710.180000000004</v>
      </c>
      <c r="L82" s="97">
        <f>SUM(L80:L81)</f>
        <v>350188.13000000006</v>
      </c>
      <c r="M82" s="98"/>
    </row>
    <row r="83" spans="1:14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</sheetData>
  <mergeCells count="30">
    <mergeCell ref="L79:M79"/>
    <mergeCell ref="L80:M80"/>
    <mergeCell ref="L81:M81"/>
    <mergeCell ref="L82:M82"/>
    <mergeCell ref="A75:N75"/>
    <mergeCell ref="A68:N68"/>
    <mergeCell ref="A44:A45"/>
    <mergeCell ref="B44:B45"/>
    <mergeCell ref="J44:J45"/>
    <mergeCell ref="K44:K45"/>
    <mergeCell ref="D44:D45"/>
    <mergeCell ref="A67:N67"/>
    <mergeCell ref="C44:C45"/>
    <mergeCell ref="E44:E45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2020-12-22T19:42:59Z</cp:lastPrinted>
  <dcterms:created xsi:type="dcterms:W3CDTF">2016-04-28T12:49:34Z</dcterms:created>
  <dcterms:modified xsi:type="dcterms:W3CDTF">2020-12-22T19:48:09Z</dcterms:modified>
</cp:coreProperties>
</file>