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13_ncr:1_{9DA67662-BABC-4E63-8A52-B801A3F824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7" i="6" l="1"/>
  <c r="B52" i="6"/>
  <c r="K51" i="6"/>
  <c r="J51" i="6"/>
  <c r="F51" i="6"/>
  <c r="E51" i="6"/>
  <c r="B51" i="6"/>
  <c r="I25" i="6"/>
  <c r="L25" i="6"/>
  <c r="M25" i="6" s="1"/>
  <c r="N25" i="6" s="1"/>
  <c r="B20" i="6"/>
  <c r="B13" i="6"/>
  <c r="J7" i="6"/>
  <c r="E7" i="6"/>
  <c r="B7" i="6"/>
  <c r="K67" i="6"/>
  <c r="B59" i="6"/>
  <c r="K33" i="6"/>
  <c r="B31" i="6"/>
  <c r="K20" i="6"/>
  <c r="B11" i="6"/>
  <c r="B56" i="6" l="1"/>
  <c r="K52" i="6"/>
  <c r="B50" i="6"/>
  <c r="B36" i="6"/>
  <c r="K31" i="6"/>
  <c r="B27" i="6"/>
  <c r="K50" i="6" l="1"/>
  <c r="B49" i="6"/>
  <c r="B43" i="6"/>
  <c r="B40" i="6"/>
  <c r="B39" i="6"/>
  <c r="B38" i="6"/>
  <c r="B37" i="6"/>
  <c r="B28" i="6"/>
  <c r="B23" i="6"/>
  <c r="B66" i="6" l="1"/>
  <c r="B62" i="6"/>
  <c r="B61" i="6"/>
  <c r="K59" i="6"/>
  <c r="K56" i="6"/>
  <c r="B55" i="6"/>
  <c r="B54" i="6"/>
  <c r="B48" i="6"/>
  <c r="K36" i="6"/>
  <c r="B34" i="6"/>
  <c r="B24" i="6"/>
  <c r="B22" i="6"/>
  <c r="B21" i="6"/>
  <c r="B16" i="6" l="1"/>
  <c r="I64" i="6" l="1"/>
  <c r="I59" i="6"/>
  <c r="I55" i="6"/>
  <c r="I50" i="6"/>
  <c r="I49" i="6"/>
  <c r="I47" i="6"/>
  <c r="I38" i="6"/>
  <c r="I33" i="6"/>
  <c r="I67" i="6"/>
  <c r="I48" i="6"/>
  <c r="I51" i="6"/>
  <c r="I53" i="6"/>
  <c r="I54" i="6"/>
  <c r="I56" i="6"/>
  <c r="I57" i="6"/>
  <c r="I58" i="6"/>
  <c r="I60" i="6"/>
  <c r="I61" i="6"/>
  <c r="I62" i="6"/>
  <c r="I63" i="6"/>
  <c r="I65" i="6"/>
  <c r="I66" i="6"/>
  <c r="I46" i="6"/>
  <c r="I43" i="6"/>
  <c r="I32" i="6"/>
  <c r="I34" i="6"/>
  <c r="I35" i="6"/>
  <c r="I36" i="6"/>
  <c r="I37" i="6"/>
  <c r="I39" i="6"/>
  <c r="I40" i="6"/>
  <c r="I41" i="6"/>
  <c r="I42" i="6"/>
  <c r="I9" i="6"/>
  <c r="I10" i="6"/>
  <c r="I11" i="6"/>
  <c r="I12" i="6"/>
  <c r="I13" i="6"/>
  <c r="I15" i="6"/>
  <c r="I16" i="6"/>
  <c r="I17" i="6"/>
  <c r="I18" i="6"/>
  <c r="I19" i="6"/>
  <c r="I20" i="6"/>
  <c r="I21" i="6"/>
  <c r="I22" i="6"/>
  <c r="I23" i="6"/>
  <c r="I24" i="6"/>
  <c r="I26" i="6"/>
  <c r="I27" i="6"/>
  <c r="I28" i="6"/>
  <c r="I29" i="6"/>
  <c r="I30" i="6"/>
  <c r="I31" i="6"/>
  <c r="I8" i="6"/>
  <c r="I7" i="6"/>
  <c r="B15" i="6"/>
  <c r="I52" i="6" l="1"/>
  <c r="K49" i="6"/>
  <c r="C14" i="6"/>
  <c r="B14" i="6"/>
  <c r="I14" i="6" s="1"/>
  <c r="K7" i="6"/>
  <c r="L65" i="6" l="1"/>
  <c r="M65" i="6" s="1"/>
  <c r="N65" i="6" s="1"/>
  <c r="L66" i="6" l="1"/>
  <c r="M66" i="6" s="1"/>
  <c r="N66" i="6" s="1"/>
  <c r="L10" i="6" l="1"/>
  <c r="M10" i="6" s="1"/>
  <c r="N10" i="6" s="1"/>
  <c r="L19" i="6" l="1"/>
  <c r="M19" i="6" s="1"/>
  <c r="N19" i="6" s="1"/>
  <c r="I26" i="7" l="1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I11" i="7" l="1"/>
  <c r="F78" i="7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2" i="6"/>
  <c r="K81" i="6"/>
  <c r="J82" i="6"/>
  <c r="J81" i="6"/>
  <c r="K83" i="6" l="1"/>
  <c r="I78" i="7"/>
  <c r="J83" i="6"/>
  <c r="L34" i="6"/>
  <c r="M34" i="6" s="1"/>
  <c r="N34" i="6" s="1"/>
  <c r="L11" i="6" l="1"/>
  <c r="M11" i="6" s="1"/>
  <c r="N11" i="6" s="1"/>
  <c r="L41" i="6" l="1"/>
  <c r="M41" i="6" s="1"/>
  <c r="N41" i="6" s="1"/>
  <c r="L58" i="6" l="1"/>
  <c r="M58" i="6" s="1"/>
  <c r="N58" i="6" s="1"/>
  <c r="L26" i="6"/>
  <c r="M26" i="6" s="1"/>
  <c r="N26" i="6" s="1"/>
  <c r="L16" i="6" l="1"/>
  <c r="M16" i="6" s="1"/>
  <c r="N16" i="6" s="1"/>
  <c r="L13" i="6" l="1"/>
  <c r="M13" i="6" s="1"/>
  <c r="N13" i="6" s="1"/>
  <c r="L67" i="6"/>
  <c r="M67" i="6" s="1"/>
  <c r="N67" i="6" s="1"/>
  <c r="L64" i="6"/>
  <c r="M64" i="6" s="1"/>
  <c r="N64" i="6" s="1"/>
  <c r="L61" i="6"/>
  <c r="M61" i="6" s="1"/>
  <c r="N61" i="6" s="1"/>
  <c r="L60" i="6"/>
  <c r="M60" i="6" s="1"/>
  <c r="L57" i="6"/>
  <c r="M57" i="6" s="1"/>
  <c r="N57" i="6" s="1"/>
  <c r="L56" i="6"/>
  <c r="M56" i="6" s="1"/>
  <c r="N56" i="6" s="1"/>
  <c r="L55" i="6"/>
  <c r="M55" i="6" s="1"/>
  <c r="L54" i="6"/>
  <c r="M54" i="6" s="1"/>
  <c r="L53" i="6"/>
  <c r="M53" i="6" s="1"/>
  <c r="L50" i="6"/>
  <c r="M50" i="6" s="1"/>
  <c r="L49" i="6"/>
  <c r="M49" i="6" s="1"/>
  <c r="L48" i="6"/>
  <c r="M48" i="6" s="1"/>
  <c r="N48" i="6" s="1"/>
  <c r="L43" i="6"/>
  <c r="M43" i="6" s="1"/>
  <c r="N43" i="6" s="1"/>
  <c r="L39" i="6"/>
  <c r="M39" i="6" s="1"/>
  <c r="N39" i="6" s="1"/>
  <c r="L38" i="6"/>
  <c r="M38" i="6" s="1"/>
  <c r="N38" i="6" s="1"/>
  <c r="L36" i="6"/>
  <c r="M36" i="6" s="1"/>
  <c r="N36" i="6" s="1"/>
  <c r="L33" i="6"/>
  <c r="M33" i="6" s="1"/>
  <c r="N33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7" i="6"/>
  <c r="M27" i="6" s="1"/>
  <c r="N27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7" i="6" l="1"/>
  <c r="M47" i="6" s="1"/>
  <c r="N47" i="6" s="1"/>
  <c r="I82" i="6"/>
  <c r="L9" i="6"/>
  <c r="I81" i="6"/>
  <c r="L63" i="6"/>
  <c r="M63" i="6" s="1"/>
  <c r="N63" i="6" s="1"/>
  <c r="L17" i="6"/>
  <c r="M17" i="6" s="1"/>
  <c r="N17" i="6" s="1"/>
  <c r="L59" i="6"/>
  <c r="M59" i="6" s="1"/>
  <c r="N59" i="6" s="1"/>
  <c r="L51" i="6"/>
  <c r="M51" i="6" s="1"/>
  <c r="N51" i="6" s="1"/>
  <c r="L52" i="6"/>
  <c r="M52" i="6" s="1"/>
  <c r="N52" i="6" s="1"/>
  <c r="L62" i="6"/>
  <c r="M62" i="6" s="1"/>
  <c r="N62" i="6" s="1"/>
  <c r="L12" i="6"/>
  <c r="M12" i="6" s="1"/>
  <c r="N12" i="6" s="1"/>
  <c r="L35" i="6"/>
  <c r="M35" i="6" s="1"/>
  <c r="N35" i="6" s="1"/>
  <c r="L28" i="6"/>
  <c r="M28" i="6" s="1"/>
  <c r="N28" i="6" s="1"/>
  <c r="L40" i="6"/>
  <c r="M40" i="6" s="1"/>
  <c r="N40" i="6" s="1"/>
  <c r="L37" i="6"/>
  <c r="M37" i="6" s="1"/>
  <c r="N37" i="6" s="1"/>
  <c r="L46" i="6"/>
  <c r="M46" i="6" s="1"/>
  <c r="N46" i="6" s="1"/>
  <c r="L21" i="6"/>
  <c r="M21" i="6" s="1"/>
  <c r="N21" i="6" s="1"/>
  <c r="L18" i="6"/>
  <c r="M18" i="6" s="1"/>
  <c r="N18" i="6" s="1"/>
  <c r="L14" i="6"/>
  <c r="M14" i="6" s="1"/>
  <c r="N14" i="6" s="1"/>
  <c r="N55" i="6"/>
  <c r="N50" i="6"/>
  <c r="N49" i="6"/>
  <c r="N53" i="6"/>
  <c r="L42" i="6"/>
  <c r="M42" i="6" s="1"/>
  <c r="N42" i="6" s="1"/>
  <c r="N54" i="6"/>
  <c r="N60" i="6"/>
  <c r="I83" i="6" l="1"/>
  <c r="M9" i="6"/>
  <c r="L82" i="6"/>
  <c r="N9" i="6" l="1"/>
  <c r="L81" i="6" s="1"/>
  <c r="L83" i="6" s="1"/>
</calcChain>
</file>

<file path=xl/sharedStrings.xml><?xml version="1.0" encoding="utf-8"?>
<sst xmlns="http://schemas.openxmlformats.org/spreadsheetml/2006/main" count="209" uniqueCount="101">
  <si>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</si>
  <si>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</si>
  <si>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</si>
  <si>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</si>
  <si>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</si>
  <si>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</si>
  <si>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</si>
  <si>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</si>
  <si>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</si>
  <si>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</si>
  <si>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</si>
  <si>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</si>
  <si>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</si>
  <si>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</si>
  <si>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</si>
  <si>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</si>
  <si>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</si>
  <si>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</si>
  <si>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</si>
  <si>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</si>
  <si>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</si>
  <si>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</si>
  <si>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</si>
  <si>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</si>
  <si>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</si>
  <si>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</si>
  <si>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</si>
  <si>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</si>
  <si>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</si>
  <si>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</si>
  <si>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</si>
  <si>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</si>
  <si>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</si>
  <si>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</si>
  <si>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</si>
  <si>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</si>
  <si>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</si>
  <si>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</si>
  <si>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</si>
  <si>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</si>
  <si>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</si>
  <si>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</si>
  <si>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</si>
  <si>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</si>
  <si>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</si>
  <si>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</si>
  <si>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</si>
  <si>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</si>
  <si>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</si>
  <si>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</si>
  <si>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</si>
  <si>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</si>
  <si>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</si>
  <si>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</si>
  <si>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</si>
  <si>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</si>
  <si>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</si>
  <si>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</si>
  <si>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</si>
  <si>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</si>
  <si>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</si>
  <si>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</si>
  <si>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</si>
  <si>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</si>
  <si>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</si>
  <si>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</si>
  <si>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</si>
  <si>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</si>
  <si>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</si>
  <si>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</si>
  <si>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</si>
  <si>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</si>
  <si>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</si>
  <si>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</si>
  <si>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</si>
  <si>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</si>
  <si>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</si>
  <si>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</si>
  <si>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</si>
  <si>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</si>
  <si>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</si>
  <si>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</si>
  <si>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</si>
  <si>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</si>
  <si>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</si>
  <si>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</si>
  <si>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</si>
  <si>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</si>
  <si>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</si>
  <si>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</si>
  <si>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</si>
  <si>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</si>
  <si>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</si>
  <si>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</si>
  <si>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</si>
  <si>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</si>
  <si>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</si>
  <si>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</si>
  <si>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</si>
  <si>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Mês: 10                Ano: 2020</t>
  </si>
  <si>
    <t>GUSTAVO ELIAS MUENZ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</si>
</sst>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2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0" fillId="2" borderId="13" xfId="0" applyFont="1" applyFill="1" applyBorder="1" applyAlignment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"/>
  <sheetViews>
    <sheetView tabSelected="1" zoomScaleNormal="100" workbookViewId="0">
      <pane xSplit="1" ySplit="6" topLeftCell="B50" activePane="bottomRight" state="frozen"/>
      <selection pane="topRight" activeCell="B1" sqref="B1"/>
      <selection pane="bottomLeft" activeCell="A7" sqref="A7"/>
      <selection pane="bottomRight" activeCell="A77" sqref="A77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115" t="s">
        <v>59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7" ht="16.5" x14ac:dyDescent="0.25">
      <c r="A2" s="115" t="s">
        <v>60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7" ht="4.5" customHeight="1" thickBot="1" x14ac:dyDescent="0.3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7" ht="19.5" thickBot="1" x14ac:dyDescent="0.35">
      <c r="A4" s="131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92" t="s">
        <v>58</v>
      </c>
      <c r="B5" s="94" t="s">
        <v>48</v>
      </c>
      <c r="C5" s="101" t="s">
        <v>87</v>
      </c>
      <c r="D5" s="98" t="s">
        <v>49</v>
      </c>
      <c r="E5" s="98" t="s">
        <v>88</v>
      </c>
      <c r="F5" s="62" t="s">
        <v>89</v>
      </c>
      <c r="G5" s="66" t="s">
        <v>91</v>
      </c>
      <c r="H5" s="35" t="s">
        <v>63</v>
      </c>
      <c r="I5" s="54" t="s">
        <v>50</v>
      </c>
      <c r="J5" s="98" t="s">
        <v>52</v>
      </c>
      <c r="K5" s="98" t="s">
        <v>53</v>
      </c>
      <c r="L5" s="35" t="s">
        <v>54</v>
      </c>
      <c r="M5" s="35" t="s">
        <v>56</v>
      </c>
      <c r="N5" s="56" t="s">
        <v>50</v>
      </c>
    </row>
    <row r="6" spans="1:17" ht="15.75" thickBot="1" x14ac:dyDescent="0.3">
      <c r="A6" s="93"/>
      <c r="B6" s="95"/>
      <c r="C6" s="102"/>
      <c r="D6" s="99"/>
      <c r="E6" s="99"/>
      <c r="F6" s="65" t="s">
        <v>90</v>
      </c>
      <c r="G6" s="67" t="s">
        <v>67</v>
      </c>
      <c r="H6" s="36" t="s">
        <v>64</v>
      </c>
      <c r="I6" s="55" t="s">
        <v>51</v>
      </c>
      <c r="J6" s="99"/>
      <c r="K6" s="99"/>
      <c r="L6" s="36" t="s">
        <v>55</v>
      </c>
      <c r="M6" s="36" t="s">
        <v>55</v>
      </c>
      <c r="N6" s="57" t="s">
        <v>57</v>
      </c>
    </row>
    <row r="7" spans="1:17" x14ac:dyDescent="0.25">
      <c r="A7" s="47" t="s">
        <v>0</v>
      </c>
      <c r="B7" s="42">
        <f>8651.89+4239.43</f>
        <v>12891.32</v>
      </c>
      <c r="C7" s="68">
        <v>3460.76</v>
      </c>
      <c r="D7" s="73"/>
      <c r="E7" s="73">
        <f>692.15+1730.38+847.88+1090.14</f>
        <v>4360.55</v>
      </c>
      <c r="F7" s="73"/>
      <c r="G7" s="73"/>
      <c r="H7" s="74"/>
      <c r="I7" s="39">
        <f>SUM(B7:H7)</f>
        <v>20712.63</v>
      </c>
      <c r="J7" s="10">
        <f>200.43+3508.32</f>
        <v>3708.75</v>
      </c>
      <c r="K7" s="10">
        <f>285.23+427.85</f>
        <v>713.08</v>
      </c>
      <c r="L7" s="4">
        <f t="shared" ref="L7:L13" si="0">I7-J7-K7-P7</f>
        <v>4466.5700000000015</v>
      </c>
      <c r="M7" s="3">
        <f>SUM(J7:L7)</f>
        <v>8888.4000000000015</v>
      </c>
      <c r="N7" s="50">
        <f>SUM(I7-M7)</f>
        <v>11824.23</v>
      </c>
      <c r="O7" s="58"/>
      <c r="P7" s="59">
        <v>11824.23</v>
      </c>
    </row>
    <row r="8" spans="1:17" x14ac:dyDescent="0.25">
      <c r="A8" s="48" t="s">
        <v>1</v>
      </c>
      <c r="B8" s="43">
        <v>5359.33</v>
      </c>
      <c r="C8" s="69"/>
      <c r="D8" s="75"/>
      <c r="E8" s="75"/>
      <c r="F8" s="75"/>
      <c r="G8" s="75"/>
      <c r="H8" s="76"/>
      <c r="I8" s="40">
        <f>SUM(B8:H8)</f>
        <v>5359.33</v>
      </c>
      <c r="J8" s="11">
        <v>436.91</v>
      </c>
      <c r="K8" s="11">
        <v>609.24</v>
      </c>
      <c r="L8" s="4">
        <f t="shared" si="0"/>
        <v>41.0600000000004</v>
      </c>
      <c r="M8" s="4">
        <f t="shared" ref="M8:M67" si="1">SUM(J8:L8)</f>
        <v>1087.2100000000005</v>
      </c>
      <c r="N8" s="51">
        <f t="shared" ref="N8:N67" si="2">SUM(I8-M8)</f>
        <v>4272.119999999999</v>
      </c>
      <c r="O8" s="58"/>
      <c r="P8" s="59">
        <v>4272.12</v>
      </c>
    </row>
    <row r="9" spans="1:17" x14ac:dyDescent="0.25">
      <c r="A9" s="48" t="s">
        <v>2</v>
      </c>
      <c r="B9" s="43">
        <v>2458.8200000000002</v>
      </c>
      <c r="C9" s="69"/>
      <c r="D9" s="75"/>
      <c r="E9" s="75"/>
      <c r="F9" s="75"/>
      <c r="G9" s="75"/>
      <c r="H9" s="76"/>
      <c r="I9" s="40">
        <f t="shared" ref="I9:I42" si="3">SUM(B9:H9)</f>
        <v>2458.8200000000002</v>
      </c>
      <c r="J9" s="11"/>
      <c r="K9" s="11">
        <v>216.68</v>
      </c>
      <c r="L9" s="4">
        <f t="shared" si="0"/>
        <v>1156.0200000000004</v>
      </c>
      <c r="M9" s="4">
        <f t="shared" si="1"/>
        <v>1372.7000000000005</v>
      </c>
      <c r="N9" s="51">
        <f t="shared" si="2"/>
        <v>1086.1199999999997</v>
      </c>
      <c r="O9" s="58"/>
      <c r="P9" s="59">
        <v>1086.1199999999999</v>
      </c>
    </row>
    <row r="10" spans="1:17" x14ac:dyDescent="0.25">
      <c r="A10" s="48" t="s">
        <v>83</v>
      </c>
      <c r="B10" s="43">
        <v>4271.8599999999997</v>
      </c>
      <c r="C10" s="69"/>
      <c r="D10" s="75"/>
      <c r="E10" s="75"/>
      <c r="F10" s="75"/>
      <c r="G10" s="75"/>
      <c r="H10" s="76"/>
      <c r="I10" s="40">
        <f t="shared" si="3"/>
        <v>4271.8599999999997</v>
      </c>
      <c r="J10" s="11">
        <v>220.24</v>
      </c>
      <c r="K10" s="11">
        <v>455.56</v>
      </c>
      <c r="L10" s="4">
        <f t="shared" ref="L10" si="4">I10-J10-K10-P10</f>
        <v>51.279999999999745</v>
      </c>
      <c r="M10" s="4">
        <f t="shared" ref="M10" si="5">SUM(J10:L10)</f>
        <v>727.0799999999997</v>
      </c>
      <c r="N10" s="51">
        <f t="shared" ref="N10" si="6">SUM(I10-M10)</f>
        <v>3544.7799999999997</v>
      </c>
      <c r="O10" s="58"/>
      <c r="P10" s="59">
        <v>3544.78</v>
      </c>
    </row>
    <row r="11" spans="1:17" x14ac:dyDescent="0.25">
      <c r="A11" s="48" t="s">
        <v>72</v>
      </c>
      <c r="B11" s="43">
        <f>1826.35+56.53</f>
        <v>1882.8799999999999</v>
      </c>
      <c r="C11" s="69">
        <v>1000</v>
      </c>
      <c r="D11" s="75"/>
      <c r="E11" s="75"/>
      <c r="F11" s="75"/>
      <c r="G11" s="75"/>
      <c r="H11" s="76"/>
      <c r="I11" s="40">
        <f t="shared" si="3"/>
        <v>2882.88</v>
      </c>
      <c r="J11" s="11">
        <v>53.35</v>
      </c>
      <c r="K11" s="11">
        <v>267.57</v>
      </c>
      <c r="L11" s="4">
        <f t="shared" si="0"/>
        <v>94.139999999999873</v>
      </c>
      <c r="M11" s="4">
        <f t="shared" si="1"/>
        <v>415.05999999999989</v>
      </c>
      <c r="N11" s="51">
        <f t="shared" si="2"/>
        <v>2467.8200000000002</v>
      </c>
      <c r="O11" s="58"/>
      <c r="P11" s="59">
        <v>2467.8200000000002</v>
      </c>
    </row>
    <row r="12" spans="1:17" x14ac:dyDescent="0.25">
      <c r="A12" s="48" t="s">
        <v>3</v>
      </c>
      <c r="B12" s="43">
        <v>2664.07</v>
      </c>
      <c r="C12" s="69"/>
      <c r="D12" s="75"/>
      <c r="E12" s="75"/>
      <c r="F12" s="75"/>
      <c r="G12" s="75"/>
      <c r="H12" s="76"/>
      <c r="I12" s="40">
        <f t="shared" si="3"/>
        <v>2664.07</v>
      </c>
      <c r="J12" s="11">
        <v>24.69</v>
      </c>
      <c r="K12" s="11">
        <v>241.31</v>
      </c>
      <c r="L12" s="4">
        <f t="shared" si="0"/>
        <v>968.61000000000013</v>
      </c>
      <c r="M12" s="4">
        <f t="shared" si="1"/>
        <v>1234.6100000000001</v>
      </c>
      <c r="N12" s="51">
        <f>SUM(I12-M12)+G12</f>
        <v>1429.46</v>
      </c>
      <c r="O12" s="58"/>
      <c r="P12" s="59">
        <v>1429.46</v>
      </c>
      <c r="Q12" s="1"/>
    </row>
    <row r="13" spans="1:17" x14ac:dyDescent="0.25">
      <c r="A13" s="48" t="s">
        <v>4</v>
      </c>
      <c r="B13" s="43">
        <f>2917.56+690.41</f>
        <v>3607.97</v>
      </c>
      <c r="C13" s="69"/>
      <c r="D13" s="75"/>
      <c r="E13" s="75"/>
      <c r="F13" s="75"/>
      <c r="G13" s="75"/>
      <c r="H13" s="76"/>
      <c r="I13" s="40">
        <f t="shared" si="3"/>
        <v>3607.97</v>
      </c>
      <c r="J13" s="11">
        <v>98.08</v>
      </c>
      <c r="K13" s="11">
        <v>358.33</v>
      </c>
      <c r="L13" s="4">
        <f t="shared" si="0"/>
        <v>1039.0099999999998</v>
      </c>
      <c r="M13" s="4">
        <f t="shared" si="1"/>
        <v>1495.4199999999996</v>
      </c>
      <c r="N13" s="51">
        <f t="shared" si="2"/>
        <v>2112.5500000000002</v>
      </c>
      <c r="O13" s="58"/>
      <c r="P13" s="59">
        <v>2112.5500000000002</v>
      </c>
    </row>
    <row r="14" spans="1:17" x14ac:dyDescent="0.25">
      <c r="A14" s="48" t="s">
        <v>5</v>
      </c>
      <c r="B14" s="43">
        <f>11980.55+5930.37</f>
        <v>17910.919999999998</v>
      </c>
      <c r="C14" s="69">
        <f>4792.22+1198.06</f>
        <v>5990.2800000000007</v>
      </c>
      <c r="D14" s="75"/>
      <c r="E14" s="75"/>
      <c r="F14" s="75"/>
      <c r="G14" s="75"/>
      <c r="H14" s="76"/>
      <c r="I14" s="40">
        <f t="shared" si="3"/>
        <v>23901.199999999997</v>
      </c>
      <c r="J14" s="11">
        <v>5507.37</v>
      </c>
      <c r="K14" s="11">
        <v>713.08</v>
      </c>
      <c r="L14" s="4">
        <f>I14-J14-K14-P14</f>
        <v>104.48999999999796</v>
      </c>
      <c r="M14" s="4">
        <f t="shared" si="1"/>
        <v>6324.9399999999978</v>
      </c>
      <c r="N14" s="51">
        <f t="shared" si="2"/>
        <v>17576.259999999998</v>
      </c>
      <c r="O14" s="58"/>
      <c r="P14" s="59">
        <v>17576.259999999998</v>
      </c>
    </row>
    <row r="15" spans="1:17" x14ac:dyDescent="0.25">
      <c r="A15" s="48" t="s">
        <v>6</v>
      </c>
      <c r="B15" s="43">
        <f>10370.38+3608.89</f>
        <v>13979.269999999999</v>
      </c>
      <c r="C15" s="69">
        <v>2074.08</v>
      </c>
      <c r="D15" s="75"/>
      <c r="E15" s="75"/>
      <c r="F15" s="75"/>
      <c r="G15" s="75"/>
      <c r="H15" s="76"/>
      <c r="I15" s="40">
        <f t="shared" si="3"/>
        <v>16053.349999999999</v>
      </c>
      <c r="J15" s="11">
        <v>3297.08</v>
      </c>
      <c r="K15" s="11">
        <v>713.08</v>
      </c>
      <c r="L15" s="4">
        <f t="shared" ref="L15:L43" si="7">I15-J15-K15-P15</f>
        <v>232.49999999999818</v>
      </c>
      <c r="M15" s="4">
        <f t="shared" si="1"/>
        <v>4242.659999999998</v>
      </c>
      <c r="N15" s="51">
        <f t="shared" si="2"/>
        <v>11810.69</v>
      </c>
      <c r="O15" s="58"/>
      <c r="P15" s="59">
        <v>11810.69</v>
      </c>
    </row>
    <row r="16" spans="1:17" x14ac:dyDescent="0.25">
      <c r="A16" s="48" t="s">
        <v>7</v>
      </c>
      <c r="B16" s="43">
        <f>11980.55+3522.28</f>
        <v>15502.83</v>
      </c>
      <c r="C16" s="69">
        <v>4792.22</v>
      </c>
      <c r="D16" s="75"/>
      <c r="E16" s="75"/>
      <c r="F16" s="75"/>
      <c r="G16" s="75"/>
      <c r="H16" s="76"/>
      <c r="I16" s="40">
        <f t="shared" si="3"/>
        <v>20295.05</v>
      </c>
      <c r="J16" s="11">
        <v>4515.68</v>
      </c>
      <c r="K16" s="11">
        <v>713.08</v>
      </c>
      <c r="L16" s="4">
        <f t="shared" si="7"/>
        <v>107.19999999999891</v>
      </c>
      <c r="M16" s="4">
        <f t="shared" si="1"/>
        <v>5335.9599999999991</v>
      </c>
      <c r="N16" s="51">
        <f t="shared" si="2"/>
        <v>14959.09</v>
      </c>
      <c r="O16" s="58"/>
      <c r="P16" s="59">
        <v>14959.09</v>
      </c>
    </row>
    <row r="17" spans="1:16" x14ac:dyDescent="0.25">
      <c r="A17" s="48" t="s">
        <v>8</v>
      </c>
      <c r="B17" s="43">
        <v>2433.34</v>
      </c>
      <c r="C17" s="69"/>
      <c r="D17" s="75"/>
      <c r="E17" s="75"/>
      <c r="F17" s="75"/>
      <c r="G17" s="75"/>
      <c r="H17" s="76"/>
      <c r="I17" s="40">
        <f t="shared" si="3"/>
        <v>2433.34</v>
      </c>
      <c r="J17" s="11">
        <v>23.68</v>
      </c>
      <c r="K17" s="11">
        <v>213.63</v>
      </c>
      <c r="L17" s="4">
        <f t="shared" si="7"/>
        <v>17.490000000000236</v>
      </c>
      <c r="M17" s="4">
        <f t="shared" si="1"/>
        <v>254.80000000000024</v>
      </c>
      <c r="N17" s="51">
        <f t="shared" si="2"/>
        <v>2178.54</v>
      </c>
      <c r="O17" s="58"/>
      <c r="P17" s="59">
        <v>2178.54</v>
      </c>
    </row>
    <row r="18" spans="1:16" x14ac:dyDescent="0.25">
      <c r="A18" s="48" t="s">
        <v>9</v>
      </c>
      <c r="B18" s="43">
        <v>2244.59</v>
      </c>
      <c r="C18" s="69"/>
      <c r="D18" s="75"/>
      <c r="E18" s="75"/>
      <c r="F18" s="75"/>
      <c r="G18" s="75"/>
      <c r="H18" s="76"/>
      <c r="I18" s="40">
        <f t="shared" si="3"/>
        <v>2244.59</v>
      </c>
      <c r="J18" s="11">
        <v>11.22</v>
      </c>
      <c r="K18" s="11">
        <v>190.97</v>
      </c>
      <c r="L18" s="4">
        <f t="shared" si="7"/>
        <v>121.9200000000003</v>
      </c>
      <c r="M18" s="4">
        <f t="shared" si="1"/>
        <v>324.1100000000003</v>
      </c>
      <c r="N18" s="51">
        <f t="shared" si="2"/>
        <v>1920.4799999999998</v>
      </c>
      <c r="O18" s="58"/>
      <c r="P18" s="59">
        <v>1920.48</v>
      </c>
    </row>
    <row r="19" spans="1:16" x14ac:dyDescent="0.25">
      <c r="A19" s="48" t="s">
        <v>82</v>
      </c>
      <c r="B19" s="43">
        <v>2696.27</v>
      </c>
      <c r="C19" s="69"/>
      <c r="D19" s="75"/>
      <c r="E19" s="75"/>
      <c r="F19" s="75"/>
      <c r="G19" s="75"/>
      <c r="H19" s="76"/>
      <c r="I19" s="40">
        <f t="shared" si="3"/>
        <v>2696.27</v>
      </c>
      <c r="J19" s="11">
        <v>26.81</v>
      </c>
      <c r="K19" s="11">
        <v>245.18</v>
      </c>
      <c r="L19" s="4">
        <f t="shared" si="7"/>
        <v>241.84000000000015</v>
      </c>
      <c r="M19" s="4">
        <f t="shared" si="1"/>
        <v>513.83000000000015</v>
      </c>
      <c r="N19" s="51">
        <f t="shared" si="2"/>
        <v>2182.4399999999996</v>
      </c>
      <c r="O19" s="58"/>
      <c r="P19" s="59">
        <v>2182.44</v>
      </c>
    </row>
    <row r="20" spans="1:16" x14ac:dyDescent="0.25">
      <c r="A20" s="48" t="s">
        <v>10</v>
      </c>
      <c r="B20" s="43">
        <f>5026.06+784.07</f>
        <v>5810.13</v>
      </c>
      <c r="C20" s="69">
        <v>1005.21</v>
      </c>
      <c r="D20" s="75"/>
      <c r="E20" s="75"/>
      <c r="F20" s="75"/>
      <c r="G20" s="75"/>
      <c r="H20" s="76"/>
      <c r="I20" s="40">
        <f t="shared" si="3"/>
        <v>6815.34</v>
      </c>
      <c r="J20" s="11">
        <v>652.35</v>
      </c>
      <c r="K20" s="11">
        <f>302.86+410.22</f>
        <v>713.08</v>
      </c>
      <c r="L20" s="4">
        <f t="shared" si="7"/>
        <v>496.21000000000004</v>
      </c>
      <c r="M20" s="4">
        <f t="shared" si="1"/>
        <v>1861.64</v>
      </c>
      <c r="N20" s="51">
        <f t="shared" si="2"/>
        <v>4953.7</v>
      </c>
      <c r="O20" s="58"/>
      <c r="P20" s="59">
        <v>4953.7</v>
      </c>
    </row>
    <row r="21" spans="1:16" x14ac:dyDescent="0.25">
      <c r="A21" s="48" t="s">
        <v>11</v>
      </c>
      <c r="B21" s="43">
        <f>2274.15+181.93</f>
        <v>2456.08</v>
      </c>
      <c r="C21" s="69"/>
      <c r="D21" s="75"/>
      <c r="E21" s="75"/>
      <c r="F21" s="75"/>
      <c r="G21" s="75"/>
      <c r="H21" s="76"/>
      <c r="I21" s="40">
        <f t="shared" si="3"/>
        <v>2456.08</v>
      </c>
      <c r="J21" s="11">
        <v>25.18</v>
      </c>
      <c r="K21" s="11">
        <v>216.35</v>
      </c>
      <c r="L21" s="4">
        <f t="shared" si="7"/>
        <v>6.1200000000003456</v>
      </c>
      <c r="M21" s="4">
        <f t="shared" si="1"/>
        <v>247.65000000000035</v>
      </c>
      <c r="N21" s="51">
        <f t="shared" si="2"/>
        <v>2208.4299999999994</v>
      </c>
      <c r="O21" s="58"/>
      <c r="P21" s="59">
        <v>2208.4299999999998</v>
      </c>
    </row>
    <row r="22" spans="1:16" x14ac:dyDescent="0.25">
      <c r="A22" s="48" t="s">
        <v>12</v>
      </c>
      <c r="B22" s="43">
        <f>13212.02+7451.58</f>
        <v>20663.599999999999</v>
      </c>
      <c r="C22" s="69">
        <v>17836.23</v>
      </c>
      <c r="D22" s="75"/>
      <c r="E22" s="75"/>
      <c r="F22" s="75"/>
      <c r="G22" s="75"/>
      <c r="H22" s="76"/>
      <c r="I22" s="40">
        <f t="shared" si="3"/>
        <v>38499.83</v>
      </c>
      <c r="J22" s="11">
        <v>9522</v>
      </c>
      <c r="K22" s="11">
        <v>713.08</v>
      </c>
      <c r="L22" s="4">
        <f t="shared" si="7"/>
        <v>263.86999999999898</v>
      </c>
      <c r="M22" s="4">
        <f t="shared" si="1"/>
        <v>10498.949999999999</v>
      </c>
      <c r="N22" s="51">
        <f t="shared" si="2"/>
        <v>28000.880000000005</v>
      </c>
      <c r="O22" s="58"/>
      <c r="P22" s="59">
        <v>28000.880000000001</v>
      </c>
    </row>
    <row r="23" spans="1:16" x14ac:dyDescent="0.25">
      <c r="A23" s="48" t="s">
        <v>13</v>
      </c>
      <c r="B23" s="43">
        <f>11980.55+3737.93</f>
        <v>15718.48</v>
      </c>
      <c r="C23" s="69">
        <v>2396.11</v>
      </c>
      <c r="D23" s="75"/>
      <c r="E23" s="75"/>
      <c r="F23" s="75"/>
      <c r="G23" s="75"/>
      <c r="H23" s="76"/>
      <c r="I23" s="40">
        <f t="shared" si="3"/>
        <v>18114.59</v>
      </c>
      <c r="J23" s="11">
        <v>3863.92</v>
      </c>
      <c r="K23" s="11">
        <v>713.08</v>
      </c>
      <c r="L23" s="4">
        <f t="shared" si="7"/>
        <v>2145</v>
      </c>
      <c r="M23" s="4">
        <f t="shared" si="1"/>
        <v>6722</v>
      </c>
      <c r="N23" s="51">
        <f t="shared" si="2"/>
        <v>11392.59</v>
      </c>
      <c r="O23" s="58"/>
      <c r="P23" s="59">
        <v>11392.59</v>
      </c>
    </row>
    <row r="24" spans="1:16" x14ac:dyDescent="0.25">
      <c r="A24" s="48" t="s">
        <v>14</v>
      </c>
      <c r="B24" s="43">
        <f>5216.65+1147.66</f>
        <v>6364.3099999999995</v>
      </c>
      <c r="C24" s="69"/>
      <c r="D24" s="75"/>
      <c r="E24" s="75"/>
      <c r="F24" s="75"/>
      <c r="G24" s="75"/>
      <c r="H24" s="76"/>
      <c r="I24" s="40">
        <f t="shared" si="3"/>
        <v>6364.3099999999995</v>
      </c>
      <c r="J24" s="11">
        <v>580.45000000000005</v>
      </c>
      <c r="K24" s="11">
        <v>713.08</v>
      </c>
      <c r="L24" s="4">
        <f t="shared" si="7"/>
        <v>1281.3899999999999</v>
      </c>
      <c r="M24" s="4">
        <f t="shared" si="1"/>
        <v>2574.92</v>
      </c>
      <c r="N24" s="51">
        <f t="shared" si="2"/>
        <v>3789.3899999999994</v>
      </c>
      <c r="O24" s="58"/>
      <c r="P24" s="59">
        <v>3789.39</v>
      </c>
    </row>
    <row r="25" spans="1:16" x14ac:dyDescent="0.25">
      <c r="A25" s="48" t="s">
        <v>100</v>
      </c>
      <c r="B25" s="43">
        <v>1521.36</v>
      </c>
      <c r="C25" s="69"/>
      <c r="D25" s="75"/>
      <c r="E25" s="75"/>
      <c r="F25" s="75"/>
      <c r="G25" s="75"/>
      <c r="H25" s="76"/>
      <c r="I25" s="40">
        <f t="shared" ref="I25" si="8">SUM(B25:H25)</f>
        <v>1521.36</v>
      </c>
      <c r="J25" s="11"/>
      <c r="K25" s="11">
        <v>121.24</v>
      </c>
      <c r="L25" s="4">
        <f t="shared" ref="L25" si="9">I25-J25-K25-P25</f>
        <v>5.4199999999998454</v>
      </c>
      <c r="M25" s="4">
        <f t="shared" ref="M25" si="10">SUM(J25:L25)</f>
        <v>126.65999999999984</v>
      </c>
      <c r="N25" s="51">
        <f t="shared" ref="N25" si="11">SUM(I25-M25)</f>
        <v>1394.7</v>
      </c>
      <c r="O25" s="58"/>
      <c r="P25" s="59">
        <v>1394.7</v>
      </c>
    </row>
    <row r="26" spans="1:16" x14ac:dyDescent="0.25">
      <c r="A26" s="48" t="s">
        <v>69</v>
      </c>
      <c r="B26" s="43">
        <v>2860.75</v>
      </c>
      <c r="C26" s="69"/>
      <c r="D26" s="75"/>
      <c r="E26" s="75"/>
      <c r="F26" s="75"/>
      <c r="G26" s="75"/>
      <c r="H26" s="76"/>
      <c r="I26" s="40">
        <f t="shared" si="3"/>
        <v>2860.75</v>
      </c>
      <c r="J26" s="11">
        <v>51.89</v>
      </c>
      <c r="K26" s="11">
        <v>264.91000000000003</v>
      </c>
      <c r="L26" s="4">
        <f t="shared" si="7"/>
        <v>101.98000000000047</v>
      </c>
      <c r="M26" s="4">
        <f t="shared" si="1"/>
        <v>418.78000000000048</v>
      </c>
      <c r="N26" s="51">
        <f t="shared" si="2"/>
        <v>2441.9699999999993</v>
      </c>
      <c r="O26" s="58"/>
      <c r="P26" s="59">
        <v>2441.9699999999998</v>
      </c>
    </row>
    <row r="27" spans="1:16" x14ac:dyDescent="0.25">
      <c r="A27" s="48" t="s">
        <v>15</v>
      </c>
      <c r="B27" s="43">
        <f>11980.55+3737.93</f>
        <v>15718.48</v>
      </c>
      <c r="C27" s="69">
        <v>2396.11</v>
      </c>
      <c r="D27" s="75"/>
      <c r="E27" s="75"/>
      <c r="F27" s="75"/>
      <c r="G27" s="75"/>
      <c r="H27" s="76"/>
      <c r="I27" s="40">
        <f t="shared" si="3"/>
        <v>18114.59</v>
      </c>
      <c r="J27" s="11">
        <v>3863.92</v>
      </c>
      <c r="K27" s="11">
        <v>713.08</v>
      </c>
      <c r="L27" s="4">
        <f t="shared" si="7"/>
        <v>4329.2100000000009</v>
      </c>
      <c r="M27" s="4">
        <f t="shared" si="1"/>
        <v>8906.2100000000009</v>
      </c>
      <c r="N27" s="51">
        <f t="shared" si="2"/>
        <v>9208.3799999999992</v>
      </c>
      <c r="O27" s="58"/>
      <c r="P27" s="59">
        <v>9208.3799999999992</v>
      </c>
    </row>
    <row r="28" spans="1:16" x14ac:dyDescent="0.25">
      <c r="A28" s="48" t="s">
        <v>16</v>
      </c>
      <c r="B28" s="43">
        <f>5216.65+1565</f>
        <v>6781.65</v>
      </c>
      <c r="C28" s="69"/>
      <c r="D28" s="75"/>
      <c r="E28" s="75"/>
      <c r="F28" s="75"/>
      <c r="G28" s="75"/>
      <c r="H28" s="76"/>
      <c r="I28" s="40">
        <f t="shared" si="3"/>
        <v>6781.65</v>
      </c>
      <c r="J28" s="11">
        <v>695.22</v>
      </c>
      <c r="K28" s="11">
        <v>713.08</v>
      </c>
      <c r="L28" s="4">
        <f t="shared" si="7"/>
        <v>6.1199999999998909</v>
      </c>
      <c r="M28" s="4">
        <f t="shared" si="1"/>
        <v>1414.42</v>
      </c>
      <c r="N28" s="51">
        <f>SUM(I28-M28)+G28</f>
        <v>5367.23</v>
      </c>
      <c r="O28" s="58"/>
      <c r="P28" s="59">
        <v>5367.23</v>
      </c>
    </row>
    <row r="29" spans="1:16" x14ac:dyDescent="0.25">
      <c r="A29" s="48" t="s">
        <v>17</v>
      </c>
      <c r="B29" s="43">
        <v>7426.39</v>
      </c>
      <c r="C29" s="69"/>
      <c r="D29" s="75"/>
      <c r="E29" s="75"/>
      <c r="F29" s="75"/>
      <c r="G29" s="75"/>
      <c r="H29" s="76"/>
      <c r="I29" s="40">
        <f t="shared" si="3"/>
        <v>7426.39</v>
      </c>
      <c r="J29" s="11">
        <v>976.8</v>
      </c>
      <c r="K29" s="11">
        <v>713.08</v>
      </c>
      <c r="L29" s="4">
        <f t="shared" si="7"/>
        <v>6.1199999999998909</v>
      </c>
      <c r="M29" s="4">
        <f t="shared" si="1"/>
        <v>1696</v>
      </c>
      <c r="N29" s="51">
        <f t="shared" si="2"/>
        <v>5730.39</v>
      </c>
      <c r="O29" s="58"/>
      <c r="P29" s="59">
        <v>5730.39</v>
      </c>
    </row>
    <row r="30" spans="1:16" x14ac:dyDescent="0.25">
      <c r="A30" s="48" t="s">
        <v>18</v>
      </c>
      <c r="B30" s="43">
        <v>2362.52</v>
      </c>
      <c r="C30" s="69"/>
      <c r="D30" s="75"/>
      <c r="E30" s="75"/>
      <c r="F30" s="75"/>
      <c r="G30" s="75"/>
      <c r="H30" s="76"/>
      <c r="I30" s="40">
        <f t="shared" si="3"/>
        <v>2362.52</v>
      </c>
      <c r="J30" s="11">
        <v>19</v>
      </c>
      <c r="K30" s="11">
        <v>205.13</v>
      </c>
      <c r="L30" s="4">
        <f t="shared" si="7"/>
        <v>169.36999999999989</v>
      </c>
      <c r="M30" s="4">
        <f t="shared" si="1"/>
        <v>393.49999999999989</v>
      </c>
      <c r="N30" s="51">
        <f t="shared" si="2"/>
        <v>1969.02</v>
      </c>
      <c r="O30" s="58"/>
      <c r="P30" s="59">
        <v>1969.02</v>
      </c>
    </row>
    <row r="31" spans="1:16" x14ac:dyDescent="0.25">
      <c r="A31" s="48" t="s">
        <v>19</v>
      </c>
      <c r="B31" s="43">
        <f>4294.59+1058.92</f>
        <v>5353.51</v>
      </c>
      <c r="C31" s="69">
        <v>1000</v>
      </c>
      <c r="D31" s="75"/>
      <c r="E31" s="75"/>
      <c r="F31" s="75"/>
      <c r="G31" s="75"/>
      <c r="H31" s="76"/>
      <c r="I31" s="40">
        <f t="shared" si="3"/>
        <v>6353.51</v>
      </c>
      <c r="J31" s="11">
        <v>577.48</v>
      </c>
      <c r="K31" s="11">
        <f>601.69+111.39</f>
        <v>713.08</v>
      </c>
      <c r="L31" s="4">
        <f t="shared" si="7"/>
        <v>648.88000000000102</v>
      </c>
      <c r="M31" s="4">
        <f t="shared" si="1"/>
        <v>1939.440000000001</v>
      </c>
      <c r="N31" s="51">
        <f t="shared" si="2"/>
        <v>4414.07</v>
      </c>
      <c r="O31" s="58"/>
      <c r="P31" s="59">
        <v>4414.07</v>
      </c>
    </row>
    <row r="32" spans="1:16" x14ac:dyDescent="0.25">
      <c r="A32" s="48" t="s">
        <v>20</v>
      </c>
      <c r="B32" s="43">
        <v>6219.96</v>
      </c>
      <c r="C32" s="69"/>
      <c r="D32" s="75"/>
      <c r="E32" s="75"/>
      <c r="F32" s="75"/>
      <c r="G32" s="75"/>
      <c r="H32" s="76"/>
      <c r="I32" s="40">
        <f t="shared" si="3"/>
        <v>6219.96</v>
      </c>
      <c r="J32" s="11">
        <v>645.03</v>
      </c>
      <c r="K32" s="11">
        <v>713.08</v>
      </c>
      <c r="L32" s="4">
        <f t="shared" si="7"/>
        <v>216.38000000000011</v>
      </c>
      <c r="M32" s="4">
        <f t="shared" si="1"/>
        <v>1574.4900000000002</v>
      </c>
      <c r="N32" s="51">
        <f t="shared" si="2"/>
        <v>4645.4699999999993</v>
      </c>
      <c r="O32" s="58"/>
      <c r="P32" s="59">
        <v>4645.47</v>
      </c>
    </row>
    <row r="33" spans="1:16" x14ac:dyDescent="0.25">
      <c r="A33" s="48" t="s">
        <v>21</v>
      </c>
      <c r="B33" s="43">
        <v>7308.24</v>
      </c>
      <c r="C33" s="69"/>
      <c r="D33" s="75"/>
      <c r="E33" s="75"/>
      <c r="F33" s="75"/>
      <c r="G33" s="75"/>
      <c r="H33" s="76"/>
      <c r="I33" s="40">
        <f t="shared" si="3"/>
        <v>7308.24</v>
      </c>
      <c r="J33" s="11">
        <v>944.31</v>
      </c>
      <c r="K33" s="11">
        <f>518.61+194.47</f>
        <v>713.08</v>
      </c>
      <c r="L33" s="4">
        <f t="shared" si="7"/>
        <v>1344.2600000000002</v>
      </c>
      <c r="M33" s="4">
        <f t="shared" si="1"/>
        <v>3001.65</v>
      </c>
      <c r="N33" s="51">
        <f t="shared" si="2"/>
        <v>4306.59</v>
      </c>
      <c r="O33" s="58"/>
      <c r="P33" s="59">
        <v>4306.59</v>
      </c>
    </row>
    <row r="34" spans="1:16" x14ac:dyDescent="0.25">
      <c r="A34" s="48" t="s">
        <v>74</v>
      </c>
      <c r="B34" s="43">
        <f>4441.25+88.83</f>
        <v>4530.08</v>
      </c>
      <c r="C34" s="69"/>
      <c r="D34" s="75"/>
      <c r="E34" s="75"/>
      <c r="F34" s="75"/>
      <c r="G34" s="75"/>
      <c r="H34" s="76"/>
      <c r="I34" s="40">
        <f t="shared" si="3"/>
        <v>4530.08</v>
      </c>
      <c r="J34" s="11">
        <v>272.18</v>
      </c>
      <c r="K34" s="11">
        <v>493.14</v>
      </c>
      <c r="L34" s="4">
        <f t="shared" ref="L34" si="12">I34-J34-K34-P34</f>
        <v>41.059999999999945</v>
      </c>
      <c r="M34" s="4">
        <f t="shared" ref="M34" si="13">SUM(J34:L34)</f>
        <v>806.37999999999988</v>
      </c>
      <c r="N34" s="51">
        <f>SUM(I34-M34)+G34</f>
        <v>3723.7</v>
      </c>
      <c r="O34" s="58"/>
      <c r="P34" s="59">
        <v>3723.7</v>
      </c>
    </row>
    <row r="35" spans="1:16" x14ac:dyDescent="0.25">
      <c r="A35" s="48" t="s">
        <v>22</v>
      </c>
      <c r="B35" s="43">
        <v>2063.08</v>
      </c>
      <c r="C35" s="69"/>
      <c r="D35" s="75"/>
      <c r="E35" s="75"/>
      <c r="F35" s="75"/>
      <c r="G35" s="75"/>
      <c r="H35" s="76"/>
      <c r="I35" s="40">
        <f t="shared" si="3"/>
        <v>2063.08</v>
      </c>
      <c r="J35" s="11"/>
      <c r="K35" s="11">
        <v>169.99</v>
      </c>
      <c r="L35" s="4">
        <f t="shared" si="7"/>
        <v>109.26999999999998</v>
      </c>
      <c r="M35" s="4">
        <f t="shared" si="1"/>
        <v>279.26</v>
      </c>
      <c r="N35" s="51">
        <f>SUM(I35-M35)+G35</f>
        <v>1783.82</v>
      </c>
      <c r="O35" s="58"/>
      <c r="P35" s="59">
        <v>1783.82</v>
      </c>
    </row>
    <row r="36" spans="1:16" x14ac:dyDescent="0.25">
      <c r="A36" s="48" t="s">
        <v>23</v>
      </c>
      <c r="B36" s="43">
        <f>5021.09+723.04</f>
        <v>5744.13</v>
      </c>
      <c r="C36" s="69">
        <v>1004.22</v>
      </c>
      <c r="D36" s="75"/>
      <c r="E36" s="75"/>
      <c r="F36" s="75"/>
      <c r="G36" s="75"/>
      <c r="H36" s="76"/>
      <c r="I36" s="40">
        <f t="shared" si="3"/>
        <v>6748.35</v>
      </c>
      <c r="J36" s="11">
        <v>790.34</v>
      </c>
      <c r="K36" s="11">
        <f>229.92+483.16</f>
        <v>713.08</v>
      </c>
      <c r="L36" s="4">
        <f t="shared" si="7"/>
        <v>66.0600000000004</v>
      </c>
      <c r="M36" s="4">
        <f t="shared" si="1"/>
        <v>1569.4800000000005</v>
      </c>
      <c r="N36" s="51">
        <f t="shared" si="2"/>
        <v>5178.87</v>
      </c>
      <c r="O36" s="58"/>
      <c r="P36" s="59">
        <v>5178.87</v>
      </c>
    </row>
    <row r="37" spans="1:16" x14ac:dyDescent="0.25">
      <c r="A37" s="48" t="s">
        <v>24</v>
      </c>
      <c r="B37" s="43">
        <f>11980.55+3737.93</f>
        <v>15718.48</v>
      </c>
      <c r="C37" s="69">
        <v>2396.11</v>
      </c>
      <c r="D37" s="75"/>
      <c r="E37" s="75"/>
      <c r="F37" s="75"/>
      <c r="G37" s="75"/>
      <c r="H37" s="76"/>
      <c r="I37" s="40">
        <f t="shared" si="3"/>
        <v>18114.59</v>
      </c>
      <c r="J37" s="11">
        <v>3863.92</v>
      </c>
      <c r="K37" s="11">
        <v>713.08</v>
      </c>
      <c r="L37" s="4">
        <f t="shared" si="7"/>
        <v>521.52000000000044</v>
      </c>
      <c r="M37" s="4">
        <f t="shared" si="1"/>
        <v>5098.5200000000004</v>
      </c>
      <c r="N37" s="51">
        <f>SUM(I37-M37)+G37</f>
        <v>13016.07</v>
      </c>
      <c r="O37" s="58"/>
      <c r="P37" s="59">
        <v>13016.07</v>
      </c>
    </row>
    <row r="38" spans="1:16" x14ac:dyDescent="0.25">
      <c r="A38" s="48" t="s">
        <v>25</v>
      </c>
      <c r="B38" s="43">
        <f>11980.55+3450.4</f>
        <v>15430.949999999999</v>
      </c>
      <c r="C38" s="69">
        <v>2396.11</v>
      </c>
      <c r="D38" s="75"/>
      <c r="E38" s="75"/>
      <c r="F38" s="75"/>
      <c r="G38" s="75"/>
      <c r="H38" s="76"/>
      <c r="I38" s="40">
        <f t="shared" si="3"/>
        <v>17827.059999999998</v>
      </c>
      <c r="J38" s="11">
        <v>3784.85</v>
      </c>
      <c r="K38" s="11">
        <v>713.08</v>
      </c>
      <c r="L38" s="4">
        <f t="shared" si="7"/>
        <v>6.1199999999971624</v>
      </c>
      <c r="M38" s="4">
        <f t="shared" si="1"/>
        <v>4504.0499999999975</v>
      </c>
      <c r="N38" s="51">
        <f t="shared" si="2"/>
        <v>13323.01</v>
      </c>
      <c r="O38" s="58"/>
      <c r="P38" s="59">
        <v>13323.01</v>
      </c>
    </row>
    <row r="39" spans="1:16" x14ac:dyDescent="0.25">
      <c r="A39" s="48" t="s">
        <v>75</v>
      </c>
      <c r="B39" s="43">
        <f>4927.52+591.3</f>
        <v>5518.8200000000006</v>
      </c>
      <c r="C39" s="69">
        <v>985.5</v>
      </c>
      <c r="D39" s="75"/>
      <c r="E39" s="75"/>
      <c r="F39" s="75"/>
      <c r="G39" s="75"/>
      <c r="H39" s="76"/>
      <c r="I39" s="40">
        <f t="shared" si="3"/>
        <v>6504.3200000000006</v>
      </c>
      <c r="J39" s="11">
        <v>723.23</v>
      </c>
      <c r="K39" s="11">
        <v>713.08</v>
      </c>
      <c r="L39" s="4">
        <f t="shared" si="7"/>
        <v>192.57999999999993</v>
      </c>
      <c r="M39" s="4">
        <f t="shared" si="1"/>
        <v>1628.8899999999999</v>
      </c>
      <c r="N39" s="51">
        <f t="shared" si="2"/>
        <v>4875.43</v>
      </c>
      <c r="O39" s="58"/>
      <c r="P39" s="59">
        <v>4875.43</v>
      </c>
    </row>
    <row r="40" spans="1:16" x14ac:dyDescent="0.25">
      <c r="A40" s="48" t="s">
        <v>26</v>
      </c>
      <c r="B40" s="43">
        <f>4657.65+335.35</f>
        <v>4993</v>
      </c>
      <c r="C40" s="69">
        <v>931.53</v>
      </c>
      <c r="D40" s="75"/>
      <c r="E40" s="75"/>
      <c r="F40" s="75"/>
      <c r="G40" s="75"/>
      <c r="H40" s="76"/>
      <c r="I40" s="40">
        <f t="shared" si="3"/>
        <v>5924.53</v>
      </c>
      <c r="J40" s="11">
        <v>466.31</v>
      </c>
      <c r="K40" s="11">
        <v>688.36</v>
      </c>
      <c r="L40" s="4">
        <f t="shared" si="7"/>
        <v>1408.9899999999998</v>
      </c>
      <c r="M40" s="4">
        <f t="shared" si="1"/>
        <v>2563.66</v>
      </c>
      <c r="N40" s="51">
        <f>SUM(I40-M40)+G40</f>
        <v>3360.87</v>
      </c>
      <c r="O40" s="58"/>
      <c r="P40" s="59">
        <v>3360.87</v>
      </c>
    </row>
    <row r="41" spans="1:16" x14ac:dyDescent="0.25">
      <c r="A41" s="48" t="s">
        <v>71</v>
      </c>
      <c r="B41" s="43">
        <v>1862.88</v>
      </c>
      <c r="C41" s="69"/>
      <c r="D41" s="75"/>
      <c r="E41" s="75"/>
      <c r="F41" s="75"/>
      <c r="G41" s="75"/>
      <c r="H41" s="76"/>
      <c r="I41" s="40">
        <f t="shared" si="3"/>
        <v>1862.88</v>
      </c>
      <c r="J41" s="11"/>
      <c r="K41" s="11">
        <v>151.97</v>
      </c>
      <c r="L41" s="4">
        <f t="shared" ref="L41" si="14">I41-J41-K41-P41</f>
        <v>15.25</v>
      </c>
      <c r="M41" s="4">
        <f t="shared" ref="M41" si="15">SUM(J41:L41)</f>
        <v>167.22</v>
      </c>
      <c r="N41" s="51">
        <f t="shared" ref="N41" si="16">SUM(I41-M41)</f>
        <v>1695.66</v>
      </c>
      <c r="O41" s="58"/>
      <c r="P41" s="59">
        <v>1695.66</v>
      </c>
    </row>
    <row r="42" spans="1:16" x14ac:dyDescent="0.25">
      <c r="A42" s="48" t="s">
        <v>27</v>
      </c>
      <c r="B42" s="43">
        <v>3015.51</v>
      </c>
      <c r="C42" s="69"/>
      <c r="D42" s="75"/>
      <c r="E42" s="75"/>
      <c r="F42" s="75"/>
      <c r="G42" s="75"/>
      <c r="H42" s="76"/>
      <c r="I42" s="40">
        <f t="shared" si="3"/>
        <v>3015.51</v>
      </c>
      <c r="J42" s="11">
        <v>62.1</v>
      </c>
      <c r="K42" s="11">
        <v>283.48</v>
      </c>
      <c r="L42" s="4">
        <f t="shared" si="7"/>
        <v>825.95000000000027</v>
      </c>
      <c r="M42" s="4">
        <f t="shared" si="1"/>
        <v>1171.5300000000002</v>
      </c>
      <c r="N42" s="51">
        <f t="shared" si="2"/>
        <v>1843.98</v>
      </c>
      <c r="O42" s="58"/>
      <c r="P42" s="59">
        <v>1843.98</v>
      </c>
    </row>
    <row r="43" spans="1:16" ht="15.75" thickBot="1" x14ac:dyDescent="0.3">
      <c r="A43" s="48" t="s">
        <v>28</v>
      </c>
      <c r="B43" s="44">
        <f>11980.55+3594.17</f>
        <v>15574.72</v>
      </c>
      <c r="C43" s="70">
        <v>2396.11</v>
      </c>
      <c r="D43" s="75"/>
      <c r="E43" s="75"/>
      <c r="F43" s="75"/>
      <c r="G43" s="75"/>
      <c r="H43" s="76"/>
      <c r="I43" s="41">
        <f>SUM(B43:H43)</f>
        <v>17970.829999999998</v>
      </c>
      <c r="J43" s="11">
        <v>3772.25</v>
      </c>
      <c r="K43" s="11">
        <v>713.08</v>
      </c>
      <c r="L43" s="4">
        <f t="shared" si="7"/>
        <v>63.119999999998981</v>
      </c>
      <c r="M43" s="4">
        <f t="shared" si="1"/>
        <v>4548.4499999999989</v>
      </c>
      <c r="N43" s="52">
        <f t="shared" si="2"/>
        <v>13422.38</v>
      </c>
      <c r="O43" s="58"/>
      <c r="P43" s="59">
        <v>13422.38</v>
      </c>
    </row>
    <row r="44" spans="1:16" x14ac:dyDescent="0.25">
      <c r="A44" s="92" t="s">
        <v>58</v>
      </c>
      <c r="B44" s="94" t="s">
        <v>48</v>
      </c>
      <c r="C44" s="101" t="s">
        <v>87</v>
      </c>
      <c r="D44" s="98" t="s">
        <v>49</v>
      </c>
      <c r="E44" s="98" t="s">
        <v>88</v>
      </c>
      <c r="F44" s="64" t="s">
        <v>89</v>
      </c>
      <c r="G44" s="66" t="s">
        <v>91</v>
      </c>
      <c r="H44" s="35" t="s">
        <v>63</v>
      </c>
      <c r="I44" s="54" t="s">
        <v>50</v>
      </c>
      <c r="J44" s="96" t="s">
        <v>52</v>
      </c>
      <c r="K44" s="96" t="s">
        <v>53</v>
      </c>
      <c r="L44" s="35" t="s">
        <v>54</v>
      </c>
      <c r="M44" s="35" t="s">
        <v>56</v>
      </c>
      <c r="N44" s="56" t="s">
        <v>50</v>
      </c>
      <c r="O44" s="61"/>
      <c r="P44" s="61"/>
    </row>
    <row r="45" spans="1:16" ht="15.75" thickBot="1" x14ac:dyDescent="0.3">
      <c r="A45" s="93"/>
      <c r="B45" s="95"/>
      <c r="C45" s="102"/>
      <c r="D45" s="99"/>
      <c r="E45" s="99"/>
      <c r="F45" s="65" t="s">
        <v>90</v>
      </c>
      <c r="G45" s="67" t="s">
        <v>67</v>
      </c>
      <c r="H45" s="36" t="s">
        <v>64</v>
      </c>
      <c r="I45" s="55" t="s">
        <v>51</v>
      </c>
      <c r="J45" s="97"/>
      <c r="K45" s="97"/>
      <c r="L45" s="36" t="s">
        <v>55</v>
      </c>
      <c r="M45" s="36" t="s">
        <v>55</v>
      </c>
      <c r="N45" s="57" t="s">
        <v>57</v>
      </c>
      <c r="O45" s="61"/>
      <c r="P45" s="61"/>
    </row>
    <row r="46" spans="1:16" x14ac:dyDescent="0.25">
      <c r="A46" s="48" t="s">
        <v>29</v>
      </c>
      <c r="B46" s="46">
        <v>2069.3000000000002</v>
      </c>
      <c r="C46" s="71"/>
      <c r="D46" s="75"/>
      <c r="E46" s="75"/>
      <c r="F46" s="75"/>
      <c r="G46" s="75"/>
      <c r="H46" s="76"/>
      <c r="I46" s="45">
        <f>SUM(B46:H46)</f>
        <v>2069.3000000000002</v>
      </c>
      <c r="J46" s="11"/>
      <c r="K46" s="11">
        <v>170.55</v>
      </c>
      <c r="L46" s="4">
        <f t="shared" ref="L46:L67" si="17">I46-J46-K46-P46</f>
        <v>278.40000000000032</v>
      </c>
      <c r="M46" s="4">
        <f t="shared" si="1"/>
        <v>448.95000000000033</v>
      </c>
      <c r="N46" s="53">
        <f t="shared" si="2"/>
        <v>1620.35</v>
      </c>
      <c r="O46" s="58"/>
      <c r="P46" s="59">
        <v>1620.35</v>
      </c>
    </row>
    <row r="47" spans="1:16" x14ac:dyDescent="0.25">
      <c r="A47" s="48" t="s">
        <v>30</v>
      </c>
      <c r="B47" s="43">
        <v>4225.22</v>
      </c>
      <c r="C47" s="69"/>
      <c r="D47" s="75"/>
      <c r="E47" s="75"/>
      <c r="F47" s="75"/>
      <c r="G47" s="75"/>
      <c r="H47" s="77"/>
      <c r="I47" s="40">
        <f>SUM(B47:H47)</f>
        <v>4225.22</v>
      </c>
      <c r="J47" s="11">
        <v>213.19</v>
      </c>
      <c r="K47" s="11">
        <v>450.46</v>
      </c>
      <c r="L47" s="4">
        <f t="shared" si="17"/>
        <v>440.01000000000022</v>
      </c>
      <c r="M47" s="4">
        <f t="shared" si="1"/>
        <v>1103.6600000000003</v>
      </c>
      <c r="N47" s="51">
        <f t="shared" si="2"/>
        <v>3121.56</v>
      </c>
      <c r="O47" s="58"/>
      <c r="P47" s="59">
        <v>3121.56</v>
      </c>
    </row>
    <row r="48" spans="1:16" x14ac:dyDescent="0.25">
      <c r="A48" s="48" t="s">
        <v>31</v>
      </c>
      <c r="B48" s="43">
        <f>7858.53+1021.61</f>
        <v>8880.14</v>
      </c>
      <c r="C48" s="69"/>
      <c r="D48" s="75"/>
      <c r="E48" s="75"/>
      <c r="F48" s="75"/>
      <c r="G48" s="75"/>
      <c r="H48" s="77">
        <v>4974.21</v>
      </c>
      <c r="I48" s="40">
        <f t="shared" ref="I48:I66" si="18">SUM(B48:H48)</f>
        <v>13854.349999999999</v>
      </c>
      <c r="J48" s="11">
        <v>2692.35</v>
      </c>
      <c r="K48" s="11">
        <v>713.08</v>
      </c>
      <c r="L48" s="4">
        <f t="shared" si="17"/>
        <v>624.21999999999753</v>
      </c>
      <c r="M48" s="4">
        <f t="shared" si="1"/>
        <v>4029.6499999999974</v>
      </c>
      <c r="N48" s="51">
        <f t="shared" si="2"/>
        <v>9824.7000000000007</v>
      </c>
      <c r="O48" s="58"/>
      <c r="P48" s="59">
        <v>9824.7000000000007</v>
      </c>
    </row>
    <row r="49" spans="1:16" x14ac:dyDescent="0.25">
      <c r="A49" s="48" t="s">
        <v>32</v>
      </c>
      <c r="B49" s="43">
        <f>5288.3+1776.87</f>
        <v>7065.17</v>
      </c>
      <c r="C49" s="69">
        <v>2115.3200000000002</v>
      </c>
      <c r="D49" s="75"/>
      <c r="E49" s="75"/>
      <c r="F49" s="75"/>
      <c r="G49" s="75"/>
      <c r="H49" s="77"/>
      <c r="I49" s="40">
        <f t="shared" si="18"/>
        <v>9180.49</v>
      </c>
      <c r="J49" s="11">
        <v>1354.9</v>
      </c>
      <c r="K49" s="11">
        <f>550.64+162.44</f>
        <v>713.07999999999993</v>
      </c>
      <c r="L49" s="4">
        <f>I49-J49-K49-P49</f>
        <v>838.03000000000065</v>
      </c>
      <c r="M49" s="4">
        <f>SUM(J49:L49)</f>
        <v>2906.0100000000007</v>
      </c>
      <c r="N49" s="51">
        <f t="shared" si="2"/>
        <v>6274.48</v>
      </c>
      <c r="O49" s="58"/>
      <c r="P49" s="59">
        <v>6274.48</v>
      </c>
    </row>
    <row r="50" spans="1:16" x14ac:dyDescent="0.25">
      <c r="A50" s="48" t="s">
        <v>33</v>
      </c>
      <c r="B50" s="43">
        <f>4927.52+768.69</f>
        <v>5696.2100000000009</v>
      </c>
      <c r="C50" s="69">
        <v>985.5</v>
      </c>
      <c r="D50" s="75"/>
      <c r="E50" s="75"/>
      <c r="F50" s="75"/>
      <c r="G50" s="75"/>
      <c r="H50" s="77"/>
      <c r="I50" s="40">
        <f t="shared" si="18"/>
        <v>6681.7100000000009</v>
      </c>
      <c r="J50" s="11">
        <v>667.74</v>
      </c>
      <c r="K50" s="11">
        <f>435.1+277.98</f>
        <v>713.08</v>
      </c>
      <c r="L50" s="4">
        <f t="shared" si="17"/>
        <v>421.11000000000149</v>
      </c>
      <c r="M50" s="4">
        <f t="shared" si="1"/>
        <v>1801.9300000000017</v>
      </c>
      <c r="N50" s="51">
        <f t="shared" si="2"/>
        <v>4879.7799999999988</v>
      </c>
      <c r="O50" s="58"/>
      <c r="P50" s="59">
        <v>4879.78</v>
      </c>
    </row>
    <row r="51" spans="1:16" x14ac:dyDescent="0.25">
      <c r="A51" s="48" t="s">
        <v>34</v>
      </c>
      <c r="B51" s="43">
        <f>2707.43+731</f>
        <v>3438.43</v>
      </c>
      <c r="C51" s="69"/>
      <c r="D51" s="75"/>
      <c r="E51" s="75">
        <f>2707.43+731+1146.14</f>
        <v>4584.57</v>
      </c>
      <c r="F51" s="75">
        <f>721.98+194.94+305.64</f>
        <v>1222.56</v>
      </c>
      <c r="G51" s="75"/>
      <c r="H51" s="77"/>
      <c r="I51" s="40">
        <f t="shared" si="18"/>
        <v>9245.56</v>
      </c>
      <c r="J51" s="11">
        <f>100.68+240.07</f>
        <v>340.75</v>
      </c>
      <c r="K51" s="11">
        <f>212.31+500.77</f>
        <v>713.07999999999993</v>
      </c>
      <c r="L51" s="4">
        <f t="shared" si="17"/>
        <v>5851.76</v>
      </c>
      <c r="M51" s="4">
        <f t="shared" si="1"/>
        <v>6905.59</v>
      </c>
      <c r="N51" s="51">
        <f>SUM(I51-M51)+G51</f>
        <v>2339.9699999999993</v>
      </c>
      <c r="O51" s="58"/>
      <c r="P51" s="59">
        <v>2339.9699999999998</v>
      </c>
    </row>
    <row r="52" spans="1:16" x14ac:dyDescent="0.25">
      <c r="A52" s="48" t="s">
        <v>35</v>
      </c>
      <c r="B52" s="43">
        <f>4927.52+580.95</f>
        <v>5508.47</v>
      </c>
      <c r="C52" s="69">
        <v>968.26</v>
      </c>
      <c r="D52" s="75"/>
      <c r="E52" s="75"/>
      <c r="F52" s="75"/>
      <c r="G52" s="75"/>
      <c r="H52" s="77"/>
      <c r="I52" s="40">
        <f t="shared" si="18"/>
        <v>6476.7300000000005</v>
      </c>
      <c r="J52" s="11">
        <v>639.79</v>
      </c>
      <c r="K52" s="11">
        <f>250.42+462.66</f>
        <v>713.08</v>
      </c>
      <c r="L52" s="4">
        <f t="shared" si="17"/>
        <v>1401.4800000000005</v>
      </c>
      <c r="M52" s="4">
        <f t="shared" si="1"/>
        <v>2754.3500000000004</v>
      </c>
      <c r="N52" s="51">
        <f>SUM(I52-M52)+G52</f>
        <v>3722.38</v>
      </c>
      <c r="O52" s="58"/>
      <c r="P52" s="59">
        <v>3722.38</v>
      </c>
    </row>
    <row r="53" spans="1:16" x14ac:dyDescent="0.25">
      <c r="A53" s="48" t="s">
        <v>36</v>
      </c>
      <c r="B53" s="43">
        <v>4183.3999999999996</v>
      </c>
      <c r="C53" s="69"/>
      <c r="D53" s="75"/>
      <c r="E53" s="75"/>
      <c r="F53" s="75"/>
      <c r="G53" s="75"/>
      <c r="H53" s="77"/>
      <c r="I53" s="40">
        <f t="shared" si="18"/>
        <v>4183.3999999999996</v>
      </c>
      <c r="J53" s="11">
        <v>149.13999999999999</v>
      </c>
      <c r="K53" s="11">
        <v>444.61</v>
      </c>
      <c r="L53" s="4">
        <f t="shared" si="17"/>
        <v>958.62999999999965</v>
      </c>
      <c r="M53" s="4">
        <f t="shared" si="1"/>
        <v>1552.3799999999997</v>
      </c>
      <c r="N53" s="51">
        <f t="shared" si="2"/>
        <v>2631.02</v>
      </c>
      <c r="O53" s="58"/>
      <c r="P53" s="59">
        <v>2631.02</v>
      </c>
    </row>
    <row r="54" spans="1:16" x14ac:dyDescent="0.25">
      <c r="A54" s="48" t="s">
        <v>85</v>
      </c>
      <c r="B54" s="43">
        <f>2274.15+159.19</f>
        <v>2433.34</v>
      </c>
      <c r="C54" s="69"/>
      <c r="D54" s="75"/>
      <c r="E54" s="75"/>
      <c r="F54" s="75"/>
      <c r="G54" s="75"/>
      <c r="H54" s="77"/>
      <c r="I54" s="40">
        <f t="shared" si="18"/>
        <v>2433.34</v>
      </c>
      <c r="J54" s="11">
        <v>23.68</v>
      </c>
      <c r="K54" s="11">
        <v>213.62</v>
      </c>
      <c r="L54" s="4">
        <f t="shared" si="17"/>
        <v>6.1200000000003456</v>
      </c>
      <c r="M54" s="4">
        <f t="shared" si="1"/>
        <v>243.42000000000036</v>
      </c>
      <c r="N54" s="51">
        <f t="shared" si="2"/>
        <v>2189.9199999999996</v>
      </c>
      <c r="O54" s="58"/>
      <c r="P54" s="59">
        <v>2189.92</v>
      </c>
    </row>
    <row r="55" spans="1:16" x14ac:dyDescent="0.25">
      <c r="A55" s="48" t="s">
        <v>38</v>
      </c>
      <c r="B55" s="43">
        <f>12454.51+9465.43</f>
        <v>21919.940000000002</v>
      </c>
      <c r="C55" s="69">
        <v>12454.51</v>
      </c>
      <c r="D55" s="75"/>
      <c r="E55" s="75"/>
      <c r="F55" s="75"/>
      <c r="G55" s="75"/>
      <c r="H55" s="77"/>
      <c r="I55" s="40">
        <f t="shared" si="18"/>
        <v>34374.450000000004</v>
      </c>
      <c r="J55" s="11">
        <v>8387.52</v>
      </c>
      <c r="K55" s="11">
        <v>713.08</v>
      </c>
      <c r="L55" s="4">
        <f t="shared" si="17"/>
        <v>292.11000000000058</v>
      </c>
      <c r="M55" s="4">
        <f t="shared" si="1"/>
        <v>9392.7100000000009</v>
      </c>
      <c r="N55" s="51">
        <f t="shared" si="2"/>
        <v>24981.740000000005</v>
      </c>
      <c r="O55" s="58"/>
      <c r="P55" s="59">
        <v>24981.74</v>
      </c>
    </row>
    <row r="56" spans="1:16" x14ac:dyDescent="0.25">
      <c r="A56" s="48" t="s">
        <v>39</v>
      </c>
      <c r="B56" s="43">
        <f>4927.52+709.56</f>
        <v>5637.08</v>
      </c>
      <c r="C56" s="69">
        <v>985.5</v>
      </c>
      <c r="D56" s="75"/>
      <c r="E56" s="75"/>
      <c r="F56" s="75"/>
      <c r="G56" s="75"/>
      <c r="H56" s="77"/>
      <c r="I56" s="40">
        <f t="shared" si="18"/>
        <v>6622.58</v>
      </c>
      <c r="J56" s="11">
        <v>703.62</v>
      </c>
      <c r="K56" s="11">
        <f>37.36+675.72</f>
        <v>713.08</v>
      </c>
      <c r="L56" s="4">
        <f t="shared" si="17"/>
        <v>199.94000000000051</v>
      </c>
      <c r="M56" s="4">
        <f t="shared" si="1"/>
        <v>1616.6400000000006</v>
      </c>
      <c r="N56" s="51">
        <f t="shared" si="2"/>
        <v>5005.9399999999996</v>
      </c>
      <c r="O56" s="58"/>
      <c r="P56" s="59">
        <v>5005.9399999999996</v>
      </c>
    </row>
    <row r="57" spans="1:16" x14ac:dyDescent="0.25">
      <c r="A57" s="48" t="s">
        <v>40</v>
      </c>
      <c r="B57" s="43">
        <v>5515.73</v>
      </c>
      <c r="C57" s="69"/>
      <c r="D57" s="75"/>
      <c r="E57" s="75"/>
      <c r="F57" s="75"/>
      <c r="G57" s="75"/>
      <c r="H57" s="77"/>
      <c r="I57" s="40">
        <f t="shared" si="18"/>
        <v>5515.73</v>
      </c>
      <c r="J57" s="11">
        <v>421.77</v>
      </c>
      <c r="K57" s="11">
        <v>631.13</v>
      </c>
      <c r="L57" s="4">
        <f t="shared" si="17"/>
        <v>749.39999999999918</v>
      </c>
      <c r="M57" s="4">
        <f t="shared" si="1"/>
        <v>1802.2999999999993</v>
      </c>
      <c r="N57" s="51">
        <f t="shared" si="2"/>
        <v>3713.4300000000003</v>
      </c>
      <c r="O57" s="58"/>
      <c r="P57" s="59">
        <v>3713.43</v>
      </c>
    </row>
    <row r="58" spans="1:16" x14ac:dyDescent="0.25">
      <c r="A58" s="48" t="s">
        <v>70</v>
      </c>
      <c r="B58" s="43">
        <v>1881.14</v>
      </c>
      <c r="C58" s="69"/>
      <c r="D58" s="75"/>
      <c r="E58" s="75"/>
      <c r="F58" s="75"/>
      <c r="G58" s="75"/>
      <c r="H58" s="77"/>
      <c r="I58" s="40">
        <f t="shared" si="18"/>
        <v>1881.14</v>
      </c>
      <c r="J58" s="11"/>
      <c r="K58" s="11">
        <v>153.62</v>
      </c>
      <c r="L58" s="4">
        <f t="shared" ref="L58" si="19">I58-J58-K58-P58</f>
        <v>6.1199999999998909</v>
      </c>
      <c r="M58" s="4">
        <f t="shared" ref="M58" si="20">SUM(J58:L58)</f>
        <v>159.7399999999999</v>
      </c>
      <c r="N58" s="51">
        <f t="shared" ref="N58" si="21">SUM(I58-M58)</f>
        <v>1721.4</v>
      </c>
      <c r="O58" s="58"/>
      <c r="P58" s="59">
        <v>1721.4</v>
      </c>
    </row>
    <row r="59" spans="1:16" x14ac:dyDescent="0.25">
      <c r="A59" s="48" t="s">
        <v>41</v>
      </c>
      <c r="B59" s="43">
        <f>11980.55+4025.46</f>
        <v>16006.009999999998</v>
      </c>
      <c r="C59" s="69">
        <v>2396.11</v>
      </c>
      <c r="D59" s="75"/>
      <c r="E59" s="75"/>
      <c r="F59" s="75"/>
      <c r="G59" s="75"/>
      <c r="H59" s="77"/>
      <c r="I59" s="40">
        <f t="shared" si="18"/>
        <v>18402.12</v>
      </c>
      <c r="J59" s="11">
        <v>3995.13</v>
      </c>
      <c r="K59" s="11">
        <f>249.58+463.5</f>
        <v>713.08</v>
      </c>
      <c r="L59" s="4">
        <f t="shared" si="17"/>
        <v>6.1199999999971624</v>
      </c>
      <c r="M59" s="4">
        <f t="shared" si="1"/>
        <v>4714.3299999999972</v>
      </c>
      <c r="N59" s="51">
        <f>SUM(I59-M59)+G59</f>
        <v>13687.79</v>
      </c>
      <c r="O59" s="58"/>
      <c r="P59" s="59">
        <v>13687.79</v>
      </c>
    </row>
    <row r="60" spans="1:16" x14ac:dyDescent="0.25">
      <c r="A60" s="48" t="s">
        <v>42</v>
      </c>
      <c r="B60" s="43">
        <v>2141.12</v>
      </c>
      <c r="C60" s="69"/>
      <c r="D60" s="75"/>
      <c r="E60" s="75"/>
      <c r="F60" s="75"/>
      <c r="G60" s="75"/>
      <c r="H60" s="77"/>
      <c r="I60" s="40">
        <f t="shared" si="18"/>
        <v>2141.12</v>
      </c>
      <c r="J60" s="11"/>
      <c r="K60" s="11">
        <v>178.56</v>
      </c>
      <c r="L60" s="4">
        <f t="shared" si="17"/>
        <v>35.549999999999955</v>
      </c>
      <c r="M60" s="4">
        <f t="shared" si="1"/>
        <v>214.10999999999996</v>
      </c>
      <c r="N60" s="51">
        <f t="shared" si="2"/>
        <v>1927.01</v>
      </c>
      <c r="O60" s="58"/>
      <c r="P60" s="59">
        <v>1927.01</v>
      </c>
    </row>
    <row r="61" spans="1:16" x14ac:dyDescent="0.25">
      <c r="A61" s="48" t="s">
        <v>43</v>
      </c>
      <c r="B61" s="43">
        <f>3491.92+698.38</f>
        <v>4190.3</v>
      </c>
      <c r="C61" s="69"/>
      <c r="D61" s="75"/>
      <c r="E61" s="75"/>
      <c r="F61" s="75"/>
      <c r="G61" s="75"/>
      <c r="H61" s="77"/>
      <c r="I61" s="40">
        <f t="shared" si="18"/>
        <v>4190.3</v>
      </c>
      <c r="J61" s="11">
        <v>206.91</v>
      </c>
      <c r="K61" s="11">
        <v>445.58</v>
      </c>
      <c r="L61" s="4">
        <f t="shared" si="17"/>
        <v>3537.8100000000004</v>
      </c>
      <c r="M61" s="4">
        <f t="shared" si="1"/>
        <v>4190.3</v>
      </c>
      <c r="N61" s="51">
        <f t="shared" si="2"/>
        <v>0</v>
      </c>
      <c r="O61" s="58"/>
      <c r="P61" s="59">
        <v>0</v>
      </c>
    </row>
    <row r="62" spans="1:16" x14ac:dyDescent="0.25">
      <c r="A62" s="48" t="s">
        <v>44</v>
      </c>
      <c r="B62" s="43">
        <f>10377.23+3860.33</f>
        <v>14237.56</v>
      </c>
      <c r="C62" s="69">
        <v>2075.4499999999998</v>
      </c>
      <c r="D62" s="75"/>
      <c r="E62" s="75"/>
      <c r="F62" s="75"/>
      <c r="G62" s="75"/>
      <c r="H62" s="77"/>
      <c r="I62" s="40">
        <f t="shared" si="18"/>
        <v>16313.009999999998</v>
      </c>
      <c r="J62" s="11">
        <v>3316.35</v>
      </c>
      <c r="K62" s="11">
        <v>713.08</v>
      </c>
      <c r="L62" s="4">
        <f t="shared" si="17"/>
        <v>597.87999999999738</v>
      </c>
      <c r="M62" s="4">
        <f t="shared" si="1"/>
        <v>4627.3099999999977</v>
      </c>
      <c r="N62" s="51">
        <f>SUM(I62-M62)+G62</f>
        <v>11685.7</v>
      </c>
      <c r="O62" s="58"/>
      <c r="P62" s="59">
        <v>11685.7</v>
      </c>
    </row>
    <row r="63" spans="1:16" x14ac:dyDescent="0.25">
      <c r="A63" s="48" t="s">
        <v>45</v>
      </c>
      <c r="B63" s="43">
        <v>4993.3999999999996</v>
      </c>
      <c r="C63" s="69"/>
      <c r="D63" s="75"/>
      <c r="E63" s="75"/>
      <c r="F63" s="75"/>
      <c r="G63" s="75"/>
      <c r="H63" s="77"/>
      <c r="I63" s="40">
        <f t="shared" si="18"/>
        <v>4993.3999999999996</v>
      </c>
      <c r="J63" s="11">
        <v>319.18</v>
      </c>
      <c r="K63" s="11">
        <v>558.01</v>
      </c>
      <c r="L63" s="4">
        <f t="shared" si="17"/>
        <v>1886.0699999999993</v>
      </c>
      <c r="M63" s="4">
        <f t="shared" si="1"/>
        <v>2763.2599999999993</v>
      </c>
      <c r="N63" s="51">
        <f t="shared" si="2"/>
        <v>2230.1400000000003</v>
      </c>
      <c r="O63" s="58"/>
      <c r="P63" s="59">
        <v>2230.14</v>
      </c>
    </row>
    <row r="64" spans="1:16" x14ac:dyDescent="0.25">
      <c r="A64" s="48" t="s">
        <v>46</v>
      </c>
      <c r="B64" s="43">
        <v>2008.02</v>
      </c>
      <c r="C64" s="69"/>
      <c r="D64" s="75"/>
      <c r="E64" s="75"/>
      <c r="F64" s="75"/>
      <c r="G64" s="75"/>
      <c r="H64" s="77"/>
      <c r="I64" s="40">
        <f t="shared" si="18"/>
        <v>2008.02</v>
      </c>
      <c r="J64" s="11"/>
      <c r="K64" s="11">
        <v>165.04</v>
      </c>
      <c r="L64" s="4">
        <f t="shared" si="17"/>
        <v>66.970000000000027</v>
      </c>
      <c r="M64" s="4">
        <f t="shared" si="1"/>
        <v>232.01000000000002</v>
      </c>
      <c r="N64" s="51">
        <f t="shared" si="2"/>
        <v>1776.01</v>
      </c>
      <c r="O64" s="58"/>
      <c r="P64" s="59">
        <v>1776.01</v>
      </c>
    </row>
    <row r="65" spans="1:16" x14ac:dyDescent="0.25">
      <c r="A65" s="48" t="s">
        <v>86</v>
      </c>
      <c r="B65" s="43">
        <v>4033.32</v>
      </c>
      <c r="C65" s="69"/>
      <c r="D65" s="75"/>
      <c r="E65" s="75"/>
      <c r="F65" s="75"/>
      <c r="G65" s="75"/>
      <c r="H65" s="77"/>
      <c r="I65" s="40">
        <f t="shared" si="18"/>
        <v>4033.32</v>
      </c>
      <c r="J65" s="11">
        <v>186.66</v>
      </c>
      <c r="K65" s="11">
        <v>423.59</v>
      </c>
      <c r="L65" s="4">
        <f t="shared" ref="L65" si="22">I65-J65-K65-P65</f>
        <v>6.1200000000003456</v>
      </c>
      <c r="M65" s="4">
        <f t="shared" ref="M65" si="23">SUM(J65:L65)</f>
        <v>616.37000000000035</v>
      </c>
      <c r="N65" s="51">
        <f t="shared" ref="N65" si="24">SUM(I65-M65)</f>
        <v>3416.95</v>
      </c>
      <c r="O65" s="58"/>
      <c r="P65" s="59">
        <v>3416.95</v>
      </c>
    </row>
    <row r="66" spans="1:16" x14ac:dyDescent="0.25">
      <c r="A66" s="48" t="s">
        <v>84</v>
      </c>
      <c r="B66" s="43">
        <f>1755.42+17.55</f>
        <v>1772.97</v>
      </c>
      <c r="C66" s="69"/>
      <c r="D66" s="75"/>
      <c r="E66" s="75"/>
      <c r="F66" s="75"/>
      <c r="G66" s="75"/>
      <c r="H66" s="77"/>
      <c r="I66" s="40">
        <f t="shared" si="18"/>
        <v>1772.97</v>
      </c>
      <c r="J66" s="11"/>
      <c r="K66" s="11">
        <v>143.88</v>
      </c>
      <c r="L66" s="4">
        <f t="shared" ref="L66" si="25">I66-J66-K66-P66</f>
        <v>131.41000000000008</v>
      </c>
      <c r="M66" s="4">
        <f t="shared" ref="M66" si="26">SUM(J66:L66)</f>
        <v>275.29000000000008</v>
      </c>
      <c r="N66" s="51">
        <f t="shared" ref="N66" si="27">SUM(I66-M66)</f>
        <v>1497.6799999999998</v>
      </c>
      <c r="O66" s="58"/>
      <c r="P66" s="59">
        <v>1497.68</v>
      </c>
    </row>
    <row r="67" spans="1:16" ht="15.75" thickBot="1" x14ac:dyDescent="0.3">
      <c r="A67" s="49" t="s">
        <v>47</v>
      </c>
      <c r="B67" s="44">
        <f>8015.71+1154.26</f>
        <v>9169.9699999999993</v>
      </c>
      <c r="C67" s="72">
        <v>1603.14</v>
      </c>
      <c r="D67" s="78"/>
      <c r="E67" s="78">
        <v>796.51</v>
      </c>
      <c r="F67" s="78"/>
      <c r="G67" s="78"/>
      <c r="H67" s="79">
        <v>4974.21</v>
      </c>
      <c r="I67" s="41">
        <f>SUM(B67:H67)</f>
        <v>16543.829999999998</v>
      </c>
      <c r="J67" s="37">
        <v>3431.96</v>
      </c>
      <c r="K67" s="37">
        <f>39.62+673.46</f>
        <v>713.08</v>
      </c>
      <c r="L67" s="38">
        <f t="shared" si="17"/>
        <v>68.919999999998254</v>
      </c>
      <c r="M67" s="38">
        <f t="shared" si="1"/>
        <v>4213.9599999999982</v>
      </c>
      <c r="N67" s="52">
        <f t="shared" si="2"/>
        <v>12329.869999999999</v>
      </c>
      <c r="O67" s="58"/>
      <c r="P67" s="59">
        <v>12329.87</v>
      </c>
    </row>
    <row r="68" spans="1:16" ht="15.75" thickBot="1" x14ac:dyDescent="0.3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</row>
    <row r="69" spans="1:16" x14ac:dyDescent="0.25">
      <c r="A69" s="89" t="s">
        <v>98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1"/>
    </row>
    <row r="70" spans="1:16" x14ac:dyDescent="0.25">
      <c r="A70" s="103" t="s">
        <v>96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5"/>
    </row>
    <row r="71" spans="1:16" ht="5.25" customHeight="1" x14ac:dyDescent="0.25">
      <c r="A71" s="106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8"/>
    </row>
    <row r="72" spans="1:16" x14ac:dyDescent="0.25">
      <c r="A72" s="109" t="s">
        <v>97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1"/>
    </row>
    <row r="73" spans="1:16" x14ac:dyDescent="0.25">
      <c r="A73" s="112" t="s">
        <v>92</v>
      </c>
      <c r="B73" s="113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4"/>
    </row>
    <row r="74" spans="1:16" x14ac:dyDescent="0.25">
      <c r="A74" s="112" t="s">
        <v>93</v>
      </c>
      <c r="B74" s="113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4"/>
    </row>
    <row r="75" spans="1:16" x14ac:dyDescent="0.25">
      <c r="A75" s="112" t="s">
        <v>94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4"/>
    </row>
    <row r="76" spans="1:16" ht="15.75" thickBot="1" x14ac:dyDescent="0.3">
      <c r="A76" s="86" t="s">
        <v>95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8"/>
    </row>
    <row r="77" spans="1:16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</row>
    <row r="78" spans="1:16" x14ac:dyDescent="0.25">
      <c r="A78" s="25"/>
      <c r="B78" s="17"/>
      <c r="C78" s="63"/>
      <c r="D78" s="17"/>
      <c r="E78" s="63"/>
      <c r="F78" s="63"/>
      <c r="G78" s="17"/>
      <c r="H78" s="17"/>
      <c r="I78" s="17"/>
      <c r="J78" s="17"/>
      <c r="K78" s="17"/>
      <c r="L78" s="17"/>
      <c r="M78" s="17"/>
      <c r="N78" s="17"/>
    </row>
    <row r="79" spans="1:16" ht="15.75" thickBot="1" x14ac:dyDescent="0.3">
      <c r="A79" s="18"/>
      <c r="B79" s="17"/>
      <c r="C79" s="63"/>
      <c r="D79" s="17"/>
      <c r="E79" s="63"/>
      <c r="F79" s="63"/>
      <c r="G79" s="17"/>
      <c r="H79" s="17"/>
      <c r="I79" s="17"/>
      <c r="J79" s="17"/>
      <c r="K79" s="17"/>
      <c r="L79" s="17"/>
      <c r="M79" s="17"/>
      <c r="N79" s="17"/>
    </row>
    <row r="80" spans="1:16" ht="15.75" x14ac:dyDescent="0.25">
      <c r="A80" s="20"/>
      <c r="B80" s="20"/>
      <c r="C80" s="20"/>
      <c r="D80" s="20"/>
      <c r="E80" s="20"/>
      <c r="F80" s="20"/>
      <c r="G80" s="20"/>
      <c r="H80" s="20"/>
      <c r="I80" s="29" t="s">
        <v>76</v>
      </c>
      <c r="J80" s="30" t="s">
        <v>77</v>
      </c>
      <c r="K80" s="30" t="s">
        <v>53</v>
      </c>
      <c r="L80" s="80" t="s">
        <v>78</v>
      </c>
      <c r="M80" s="81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SUM(I7:I43)</f>
        <v>325341.71000000002</v>
      </c>
      <c r="J81" s="32">
        <f>SUM(J7:J43)</f>
        <v>54076.590000000004</v>
      </c>
      <c r="K81" s="32">
        <f>SUM(K7:K43)</f>
        <v>18941.560000000005</v>
      </c>
      <c r="L81" s="82">
        <f>SUM(N7:N43)</f>
        <v>229411.18000000002</v>
      </c>
      <c r="M81" s="83"/>
    </row>
    <row r="82" spans="1:14" x14ac:dyDescent="0.25">
      <c r="A82" s="13"/>
      <c r="B82" s="13"/>
      <c r="C82" s="13"/>
      <c r="D82" s="13"/>
      <c r="E82" s="13"/>
      <c r="F82" s="13"/>
      <c r="G82" s="13"/>
      <c r="H82" s="13"/>
      <c r="I82" s="31">
        <f>SUM(I46:I67)</f>
        <v>177142.09</v>
      </c>
      <c r="J82" s="32">
        <f>SUM(J46:J67)</f>
        <v>27050.639999999999</v>
      </c>
      <c r="K82" s="32">
        <f>SUM(K46:K67)</f>
        <v>11109.45</v>
      </c>
      <c r="L82" s="82">
        <f>SUM(N46:N67)</f>
        <v>120577.81999999996</v>
      </c>
      <c r="M82" s="83"/>
    </row>
    <row r="83" spans="1:14" ht="16.5" thickBot="1" x14ac:dyDescent="0.3">
      <c r="A83" s="13"/>
      <c r="B83" s="13"/>
      <c r="C83" s="13"/>
      <c r="D83" s="13"/>
      <c r="E83" s="13"/>
      <c r="F83" s="13"/>
      <c r="G83" s="7"/>
      <c r="H83" s="13"/>
      <c r="I83" s="33">
        <f>SUM(I81:I82)</f>
        <v>502483.80000000005</v>
      </c>
      <c r="J83" s="34">
        <f>SUM(J81:J82)</f>
        <v>81127.23000000001</v>
      </c>
      <c r="K83" s="34">
        <f>SUM(K81:K82)</f>
        <v>30051.010000000006</v>
      </c>
      <c r="L83" s="84">
        <f>SUM(L81:L82)</f>
        <v>349989</v>
      </c>
      <c r="M83" s="85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</sheetData>
  <sheetProtection algorithmName="SHA-512" hashValue="YSA1i945+T2BocZHfPgL5G1rz8igYBhV+41/U8L37LgmMIQqb4Pofxs4AKVDk/YyAgtfPplSI3DumwDgtkKwdw==" saltValue="mCIO1Q5foOeJK6qN/Qk+iQ==" spinCount="100000" sheet="1" objects="1" scenarios="1"/>
  <mergeCells count="30"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  <mergeCell ref="A70:N70"/>
    <mergeCell ref="A71:N71"/>
    <mergeCell ref="A72:N72"/>
    <mergeCell ref="A73:N73"/>
    <mergeCell ref="A75:N75"/>
    <mergeCell ref="A74:N74"/>
    <mergeCell ref="A69:N69"/>
    <mergeCell ref="A44:A45"/>
    <mergeCell ref="B44:B45"/>
    <mergeCell ref="J44:J45"/>
    <mergeCell ref="K44:K45"/>
    <mergeCell ref="D44:D45"/>
    <mergeCell ref="A68:N68"/>
    <mergeCell ref="C44:C45"/>
    <mergeCell ref="E44:E45"/>
    <mergeCell ref="L80:M80"/>
    <mergeCell ref="L81:M81"/>
    <mergeCell ref="L82:M82"/>
    <mergeCell ref="L83:M83"/>
    <mergeCell ref="A76:N76"/>
  </mergeCells>
  <pageMargins left="0.25" right="0.25" top="0.75" bottom="0.75" header="0.3" footer="0.3"/>
  <pageSetup paperSize="9" scale="62" orientation="landscape" r:id="rId1"/>
  <rowBreaks count="1" manualBreakCount="1">
    <brk id="4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17" t="s">
        <v>59</v>
      </c>
      <c r="B1" s="117"/>
      <c r="C1" s="117"/>
      <c r="D1" s="117"/>
      <c r="E1" s="117"/>
      <c r="F1" s="117"/>
      <c r="G1" s="117"/>
      <c r="H1" s="117"/>
      <c r="I1" s="117"/>
    </row>
    <row r="2" spans="1:12" x14ac:dyDescent="0.25">
      <c r="A2" s="117" t="s">
        <v>60</v>
      </c>
      <c r="B2" s="117"/>
      <c r="C2" s="117"/>
      <c r="D2" s="117"/>
      <c r="E2" s="117"/>
      <c r="F2" s="117"/>
      <c r="G2" s="117"/>
      <c r="H2" s="117"/>
      <c r="I2" s="117"/>
    </row>
    <row r="3" spans="1:12" ht="4.5" customHeight="1" x14ac:dyDescent="0.25">
      <c r="A3" s="118"/>
      <c r="B3" s="118"/>
      <c r="C3" s="118"/>
      <c r="D3" s="118"/>
      <c r="E3" s="118"/>
      <c r="F3" s="118"/>
      <c r="G3" s="118"/>
      <c r="H3" s="118"/>
      <c r="I3" s="118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19" t="s">
        <v>58</v>
      </c>
      <c r="B5" s="121" t="s">
        <v>48</v>
      </c>
      <c r="C5" s="121" t="s">
        <v>80</v>
      </c>
      <c r="D5" s="5" t="s">
        <v>50</v>
      </c>
      <c r="E5" s="121" t="s">
        <v>52</v>
      </c>
      <c r="F5" s="121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0"/>
      <c r="B6" s="122"/>
      <c r="C6" s="122"/>
      <c r="D6" s="6" t="s">
        <v>51</v>
      </c>
      <c r="E6" s="122"/>
      <c r="F6" s="122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19" t="s">
        <v>58</v>
      </c>
      <c r="B42" s="121" t="s">
        <v>48</v>
      </c>
      <c r="C42" s="121" t="s">
        <v>80</v>
      </c>
      <c r="D42" s="5" t="s">
        <v>50</v>
      </c>
      <c r="E42" s="123" t="s">
        <v>52</v>
      </c>
      <c r="F42" s="123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0"/>
      <c r="B43" s="122"/>
      <c r="C43" s="122"/>
      <c r="D43" s="6" t="s">
        <v>51</v>
      </c>
      <c r="E43" s="124"/>
      <c r="F43" s="124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27" t="s">
        <v>73</v>
      </c>
      <c r="B65" s="128"/>
      <c r="C65" s="128"/>
      <c r="D65" s="128"/>
      <c r="E65" s="128"/>
      <c r="F65" s="128"/>
      <c r="G65" s="128"/>
      <c r="H65" s="128"/>
      <c r="I65" s="128"/>
    </row>
    <row r="66" spans="1:9" x14ac:dyDescent="0.25">
      <c r="A66" s="127" t="s">
        <v>61</v>
      </c>
      <c r="B66" s="128"/>
      <c r="C66" s="128"/>
      <c r="D66" s="128"/>
      <c r="E66" s="128"/>
      <c r="F66" s="128"/>
      <c r="G66" s="128"/>
      <c r="H66" s="128"/>
      <c r="I66" s="128"/>
    </row>
    <row r="67" spans="1:9" x14ac:dyDescent="0.25">
      <c r="A67" s="129"/>
      <c r="B67" s="129"/>
      <c r="C67" s="129"/>
      <c r="D67" s="129"/>
      <c r="E67" s="129"/>
      <c r="F67" s="129"/>
      <c r="G67" s="129"/>
      <c r="H67" s="129"/>
      <c r="I67" s="129"/>
    </row>
    <row r="68" spans="1:9" x14ac:dyDescent="0.25">
      <c r="A68" s="130" t="s">
        <v>62</v>
      </c>
      <c r="B68" s="130"/>
      <c r="C68" s="130"/>
      <c r="D68" s="130"/>
      <c r="E68" s="130"/>
      <c r="F68" s="130"/>
      <c r="G68" s="130"/>
      <c r="H68" s="130"/>
      <c r="I68" s="130"/>
    </row>
    <row r="69" spans="1:9" x14ac:dyDescent="0.25">
      <c r="A69" s="125" t="s">
        <v>66</v>
      </c>
      <c r="B69" s="125"/>
      <c r="C69" s="125"/>
      <c r="D69" s="125"/>
      <c r="E69" s="125"/>
      <c r="F69" s="125"/>
      <c r="G69" s="125"/>
      <c r="H69" s="125"/>
      <c r="I69" s="125"/>
    </row>
    <row r="70" spans="1:9" x14ac:dyDescent="0.25">
      <c r="A70" s="125" t="s">
        <v>68</v>
      </c>
      <c r="B70" s="125"/>
      <c r="C70" s="125"/>
      <c r="D70" s="125"/>
      <c r="E70" s="125"/>
      <c r="F70" s="125"/>
      <c r="G70" s="125"/>
      <c r="H70" s="125"/>
      <c r="I70" s="125"/>
    </row>
    <row r="71" spans="1:9" x14ac:dyDescent="0.25">
      <c r="A71" s="125" t="s">
        <v>65</v>
      </c>
      <c r="B71" s="125"/>
      <c r="C71" s="125"/>
      <c r="D71" s="125"/>
      <c r="E71" s="125"/>
      <c r="F71" s="125"/>
      <c r="G71" s="125"/>
      <c r="H71" s="125"/>
      <c r="I71" s="125"/>
    </row>
    <row r="72" spans="1:9" x14ac:dyDescent="0.25">
      <c r="A72" s="126"/>
      <c r="B72" s="126"/>
      <c r="C72" s="126"/>
      <c r="D72" s="126"/>
      <c r="E72" s="126"/>
      <c r="F72" s="126"/>
      <c r="G72" s="126"/>
      <c r="H72" s="126"/>
      <c r="I72" s="126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71:I71"/>
    <mergeCell ref="A72:I72"/>
    <mergeCell ref="A65:I65"/>
    <mergeCell ref="A66:I66"/>
    <mergeCell ref="A67:I67"/>
    <mergeCell ref="A68:I68"/>
    <mergeCell ref="A69:I69"/>
    <mergeCell ref="A70:I70"/>
    <mergeCell ref="A42:A43"/>
    <mergeCell ref="B42:B43"/>
    <mergeCell ref="C42:C43"/>
    <mergeCell ref="E42:E43"/>
    <mergeCell ref="F42:F43"/>
    <mergeCell ref="A1:I1"/>
    <mergeCell ref="A2:I2"/>
    <mergeCell ref="A3:I3"/>
    <mergeCell ref="A5:A6"/>
    <mergeCell ref="B5:B6"/>
    <mergeCell ref="C5:C6"/>
    <mergeCell ref="E5:E6"/>
    <mergeCell ref="F5:F6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2020-10-29T18:53:20Z</cp:lastPrinted>
  <dcterms:created xsi:type="dcterms:W3CDTF">2016-04-28T12:49:34Z</dcterms:created>
  <dcterms:modified xsi:type="dcterms:W3CDTF">2020-10-29T18:56:01Z</dcterms:modified>
</cp:coreProperties>
</file>