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18783F8B-BE39-4587-AE8B-C9455BB6C4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6" i="6" l="1"/>
  <c r="E66" i="6"/>
  <c r="B66" i="6"/>
  <c r="K64" i="6"/>
  <c r="E64" i="6"/>
  <c r="B64" i="6"/>
  <c r="K62" i="6"/>
  <c r="J62" i="6"/>
  <c r="E62" i="6"/>
  <c r="B62" i="6"/>
  <c r="B55" i="6"/>
  <c r="K51" i="6"/>
  <c r="E51" i="6"/>
  <c r="B51" i="6"/>
  <c r="B49" i="6"/>
  <c r="B35" i="6"/>
  <c r="K30" i="6"/>
  <c r="J30" i="6"/>
  <c r="E30" i="6"/>
  <c r="B30" i="6"/>
  <c r="K29" i="6"/>
  <c r="E29" i="6"/>
  <c r="B29" i="6"/>
  <c r="B26" i="6"/>
  <c r="K11" i="6"/>
  <c r="E11" i="6"/>
  <c r="B11" i="6"/>
  <c r="K10" i="6"/>
  <c r="J10" i="6"/>
  <c r="E10" i="6"/>
  <c r="B10" i="6"/>
  <c r="B58" i="6" l="1"/>
  <c r="K49" i="6"/>
  <c r="B48" i="6"/>
  <c r="B42" i="6"/>
  <c r="B39" i="6"/>
  <c r="B38" i="6"/>
  <c r="B37" i="6"/>
  <c r="B36" i="6"/>
  <c r="B32" i="6"/>
  <c r="B27" i="6"/>
  <c r="B23" i="6"/>
  <c r="B20" i="6"/>
  <c r="B65" i="6" l="1"/>
  <c r="B61" i="6"/>
  <c r="B60" i="6"/>
  <c r="K58" i="6"/>
  <c r="K55" i="6"/>
  <c r="B54" i="6"/>
  <c r="B53" i="6"/>
  <c r="B50" i="6"/>
  <c r="B47" i="6"/>
  <c r="K35" i="6"/>
  <c r="B33" i="6"/>
  <c r="B24" i="6"/>
  <c r="B22" i="6"/>
  <c r="B21" i="6"/>
  <c r="B16" i="6" l="1"/>
  <c r="B8" i="6"/>
  <c r="B7" i="6"/>
  <c r="I63" i="6" l="1"/>
  <c r="I58" i="6"/>
  <c r="I54" i="6"/>
  <c r="I49" i="6"/>
  <c r="I48" i="6"/>
  <c r="I46" i="6"/>
  <c r="I37" i="6"/>
  <c r="I32" i="6"/>
  <c r="I66" i="6"/>
  <c r="I47" i="6"/>
  <c r="I50" i="6"/>
  <c r="I52" i="6"/>
  <c r="I53" i="6"/>
  <c r="I55" i="6"/>
  <c r="I56" i="6"/>
  <c r="I57" i="6"/>
  <c r="I59" i="6"/>
  <c r="I60" i="6"/>
  <c r="I61" i="6"/>
  <c r="I62" i="6"/>
  <c r="I64" i="6"/>
  <c r="I65" i="6"/>
  <c r="I45" i="6"/>
  <c r="I42" i="6"/>
  <c r="I31" i="6"/>
  <c r="I33" i="6"/>
  <c r="I34" i="6"/>
  <c r="I35" i="6"/>
  <c r="I36" i="6"/>
  <c r="I38" i="6"/>
  <c r="I39" i="6"/>
  <c r="I40" i="6"/>
  <c r="I41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8" i="6"/>
  <c r="I7" i="6"/>
  <c r="K20" i="6"/>
  <c r="B15" i="6"/>
  <c r="I51" i="6" l="1"/>
  <c r="K48" i="6"/>
  <c r="C14" i="6"/>
  <c r="B14" i="6"/>
  <c r="I14" i="6" s="1"/>
  <c r="K7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I26" i="7" l="1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I11" i="7" l="1"/>
  <c r="F78" i="7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<sst xmlns="http://schemas.openxmlformats.org/spreadsheetml/2006/main" count="208" uniqueCount="100">
  <si>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</si>
  <si>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</si>
  <si>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</si>
  <si>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</si>
  <si>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</si>
  <si>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</si>
  <si>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</si>
  <si>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</si>
  <si>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</si>
  <si>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</si>
  <si>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</si>
  <si>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</si>
  <si>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</si>
  <si>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</si>
  <si>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</si>
  <si>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</si>
  <si>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</si>
  <si>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</si>
  <si>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</si>
  <si>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</si>
  <si>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</si>
  <si>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</si>
  <si>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</si>
  <si>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</si>
  <si>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</si>
  <si>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</si>
  <si>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</si>
  <si>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</si>
  <si>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</si>
  <si>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</si>
  <si>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</si>
  <si>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</si>
  <si>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</si>
  <si>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</si>
  <si>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</si>
  <si>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</si>
  <si>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</si>
  <si>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</si>
  <si>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</si>
  <si>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</si>
  <si>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</si>
  <si>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</si>
  <si>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</si>
  <si>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</si>
  <si>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</si>
  <si>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</si>
  <si>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</si>
  <si>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</si>
  <si>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</si>
  <si>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</si>
  <si>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</si>
  <si>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</si>
  <si>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</si>
  <si>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</si>
  <si>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</si>
  <si>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</si>
  <si>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</si>
  <si>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</si>
  <si>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</si>
  <si>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</si>
  <si>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</si>
  <si>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</si>
  <si>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</si>
  <si>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</si>
  <si>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</si>
  <si>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</si>
  <si>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</si>
  <si>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</si>
  <si>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</si>
  <si>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</si>
  <si>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</si>
  <si>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</si>
  <si>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</si>
  <si>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</si>
  <si>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</si>
  <si>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</si>
  <si>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</si>
  <si>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</si>
  <si>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</si>
  <si>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</si>
  <si>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</si>
  <si>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</si>
  <si>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</si>
  <si>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</si>
  <si>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</si>
  <si>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</si>
  <si>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</si>
  <si>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</si>
  <si>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</si>
  <si>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</si>
  <si>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</si>
  <si>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</si>
  <si>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</si>
  <si>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</si>
  <si>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</si>
  <si>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</si>
  <si>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</si>
  <si>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</si>
  <si>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</si>
  <si>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Mês: 08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</si>
</sst>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72" sqref="P72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81" t="s">
        <v>59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7" ht="16.5" x14ac:dyDescent="0.25">
      <c r="A2" s="81" t="s">
        <v>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7" ht="4.5" customHeight="1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7" ht="19.5" thickBot="1" x14ac:dyDescent="0.35">
      <c r="A4" s="35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83" t="s">
        <v>58</v>
      </c>
      <c r="B5" s="85" t="s">
        <v>48</v>
      </c>
      <c r="C5" s="89" t="s">
        <v>87</v>
      </c>
      <c r="D5" s="87" t="s">
        <v>49</v>
      </c>
      <c r="E5" s="87" t="s">
        <v>88</v>
      </c>
      <c r="F5" s="63" t="s">
        <v>89</v>
      </c>
      <c r="G5" s="67" t="s">
        <v>91</v>
      </c>
      <c r="H5" s="36" t="s">
        <v>63</v>
      </c>
      <c r="I5" s="55" t="s">
        <v>50</v>
      </c>
      <c r="J5" s="87" t="s">
        <v>52</v>
      </c>
      <c r="K5" s="87" t="s">
        <v>53</v>
      </c>
      <c r="L5" s="36" t="s">
        <v>54</v>
      </c>
      <c r="M5" s="36" t="s">
        <v>56</v>
      </c>
      <c r="N5" s="57" t="s">
        <v>50</v>
      </c>
    </row>
    <row r="6" spans="1:17" ht="15.75" thickBot="1" x14ac:dyDescent="0.3">
      <c r="A6" s="84"/>
      <c r="B6" s="86"/>
      <c r="C6" s="90"/>
      <c r="D6" s="88"/>
      <c r="E6" s="88"/>
      <c r="F6" s="66" t="s">
        <v>90</v>
      </c>
      <c r="G6" s="68" t="s">
        <v>67</v>
      </c>
      <c r="H6" s="37" t="s">
        <v>64</v>
      </c>
      <c r="I6" s="56" t="s">
        <v>51</v>
      </c>
      <c r="J6" s="88"/>
      <c r="K6" s="88"/>
      <c r="L6" s="37" t="s">
        <v>55</v>
      </c>
      <c r="M6" s="37" t="s">
        <v>55</v>
      </c>
      <c r="N6" s="58" t="s">
        <v>57</v>
      </c>
    </row>
    <row r="7" spans="1:17" x14ac:dyDescent="0.25">
      <c r="A7" s="48" t="s">
        <v>0</v>
      </c>
      <c r="B7" s="43">
        <f>10382.27+5087.31</f>
        <v>15469.580000000002</v>
      </c>
      <c r="C7" s="69">
        <v>4152.91</v>
      </c>
      <c r="D7" s="74"/>
      <c r="E7" s="74"/>
      <c r="F7" s="74"/>
      <c r="G7" s="74"/>
      <c r="H7" s="75"/>
      <c r="I7" s="40">
        <f>SUM(B7:H7)</f>
        <v>19622.490000000002</v>
      </c>
      <c r="J7" s="10">
        <v>4278.59</v>
      </c>
      <c r="K7" s="10">
        <f>285.23+427.85</f>
        <v>713.08</v>
      </c>
      <c r="L7" s="4">
        <f t="shared" ref="L7:L13" si="0">I7-J7-K7-P7</f>
        <v>774.8600000000024</v>
      </c>
      <c r="M7" s="3">
        <f>SUM(J7:L7)</f>
        <v>5766.5300000000025</v>
      </c>
      <c r="N7" s="51">
        <f>SUM(I7-M7)</f>
        <v>13855.96</v>
      </c>
      <c r="O7" s="59"/>
      <c r="P7" s="60">
        <v>13855.96</v>
      </c>
    </row>
    <row r="8" spans="1:17" x14ac:dyDescent="0.25">
      <c r="A8" s="49" t="s">
        <v>1</v>
      </c>
      <c r="B8" s="44">
        <f>5055.97+252.8</f>
        <v>5308.77</v>
      </c>
      <c r="C8" s="70"/>
      <c r="D8" s="76"/>
      <c r="E8" s="76"/>
      <c r="F8" s="76"/>
      <c r="G8" s="76"/>
      <c r="H8" s="77"/>
      <c r="I8" s="41">
        <f>SUM(B8:H8)</f>
        <v>5308.77</v>
      </c>
      <c r="J8" s="11">
        <v>424.96</v>
      </c>
      <c r="K8" s="11">
        <v>602.16</v>
      </c>
      <c r="L8" s="4">
        <f t="shared" si="0"/>
        <v>91.6200000000008</v>
      </c>
      <c r="M8" s="4">
        <f t="shared" ref="M8:M66" si="1">SUM(J8:L8)</f>
        <v>1118.7400000000007</v>
      </c>
      <c r="N8" s="52">
        <f t="shared" ref="N8:N66" si="2">SUM(I8-M8)</f>
        <v>4190.03</v>
      </c>
      <c r="O8" s="59"/>
      <c r="P8" s="60">
        <v>4190.03</v>
      </c>
    </row>
    <row r="9" spans="1:17" x14ac:dyDescent="0.25">
      <c r="A9" s="49" t="s">
        <v>2</v>
      </c>
      <c r="B9" s="44">
        <v>2458.8200000000002</v>
      </c>
      <c r="C9" s="70"/>
      <c r="D9" s="76"/>
      <c r="E9" s="76"/>
      <c r="F9" s="76"/>
      <c r="G9" s="76"/>
      <c r="H9" s="77"/>
      <c r="I9" s="41">
        <f t="shared" ref="I9:I41" si="3">SUM(B9:H9)</f>
        <v>2458.8200000000002</v>
      </c>
      <c r="J9" s="11"/>
      <c r="K9" s="11">
        <v>216.68</v>
      </c>
      <c r="L9" s="4">
        <f t="shared" si="0"/>
        <v>1156.0200000000004</v>
      </c>
      <c r="M9" s="4">
        <f t="shared" si="1"/>
        <v>1372.7000000000005</v>
      </c>
      <c r="N9" s="52">
        <f t="shared" si="2"/>
        <v>1086.1199999999997</v>
      </c>
      <c r="O9" s="59"/>
      <c r="P9" s="60">
        <v>1086.1199999999999</v>
      </c>
    </row>
    <row r="10" spans="1:17" x14ac:dyDescent="0.25">
      <c r="A10" s="49" t="s">
        <v>83</v>
      </c>
      <c r="B10" s="44">
        <f>4088.68+40.89</f>
        <v>4129.57</v>
      </c>
      <c r="C10" s="70"/>
      <c r="D10" s="76"/>
      <c r="E10" s="76">
        <f>140.99+1.41+47.47</f>
        <v>189.87</v>
      </c>
      <c r="F10" s="76"/>
      <c r="G10" s="76"/>
      <c r="H10" s="77"/>
      <c r="I10" s="41">
        <f t="shared" si="3"/>
        <v>4319.4399999999996</v>
      </c>
      <c r="J10" s="11">
        <f>198.02+156.21</f>
        <v>354.23</v>
      </c>
      <c r="K10" s="11">
        <f>444.13+19.53</f>
        <v>463.65999999999997</v>
      </c>
      <c r="L10" s="4">
        <f t="shared" ref="L10" si="4">I10-J10-K10-P10</f>
        <v>97.489999999999782</v>
      </c>
      <c r="M10" s="4">
        <f t="shared" ref="M10" si="5">SUM(J10:L10)</f>
        <v>915.37999999999977</v>
      </c>
      <c r="N10" s="52">
        <f t="shared" ref="N10" si="6">SUM(I10-M10)</f>
        <v>3404.06</v>
      </c>
      <c r="O10" s="59"/>
      <c r="P10" s="60">
        <v>3404.06</v>
      </c>
    </row>
    <row r="11" spans="1:17" x14ac:dyDescent="0.25">
      <c r="A11" s="49" t="s">
        <v>72</v>
      </c>
      <c r="B11" s="44">
        <f>1095.81+33.92</f>
        <v>1129.73</v>
      </c>
      <c r="C11" s="70">
        <v>600</v>
      </c>
      <c r="D11" s="76"/>
      <c r="E11" s="76">
        <f>400+730.54+22.61+384.38</f>
        <v>1537.5299999999997</v>
      </c>
      <c r="F11" s="76"/>
      <c r="G11" s="76"/>
      <c r="H11" s="77"/>
      <c r="I11" s="41">
        <f t="shared" si="3"/>
        <v>3267.2599999999998</v>
      </c>
      <c r="J11" s="11"/>
      <c r="K11" s="11">
        <f>193.66+122.69</f>
        <v>316.35000000000002</v>
      </c>
      <c r="L11" s="4">
        <f t="shared" si="0"/>
        <v>1527.2399999999998</v>
      </c>
      <c r="M11" s="4">
        <f t="shared" si="1"/>
        <v>1843.5899999999997</v>
      </c>
      <c r="N11" s="52">
        <f t="shared" si="2"/>
        <v>1423.67</v>
      </c>
      <c r="O11" s="59"/>
      <c r="P11" s="60">
        <v>1423.67</v>
      </c>
    </row>
    <row r="12" spans="1:17" x14ac:dyDescent="0.25">
      <c r="A12" s="49" t="s">
        <v>3</v>
      </c>
      <c r="B12" s="44">
        <v>2664.07</v>
      </c>
      <c r="C12" s="70"/>
      <c r="D12" s="76"/>
      <c r="E12" s="76"/>
      <c r="F12" s="76"/>
      <c r="G12" s="76"/>
      <c r="H12" s="77"/>
      <c r="I12" s="41">
        <f t="shared" si="3"/>
        <v>2664.07</v>
      </c>
      <c r="J12" s="11">
        <v>24.69</v>
      </c>
      <c r="K12" s="11">
        <v>241.31</v>
      </c>
      <c r="L12" s="4">
        <f t="shared" si="0"/>
        <v>1076.7000000000003</v>
      </c>
      <c r="M12" s="4">
        <f t="shared" si="1"/>
        <v>1342.7000000000003</v>
      </c>
      <c r="N12" s="52">
        <f>SUM(I12-M12)+G12</f>
        <v>1321.37</v>
      </c>
      <c r="O12" s="59"/>
      <c r="P12" s="60">
        <v>1321.37</v>
      </c>
      <c r="Q12" s="1"/>
    </row>
    <row r="13" spans="1:17" x14ac:dyDescent="0.25">
      <c r="A13" s="49" t="s">
        <v>4</v>
      </c>
      <c r="B13" s="44">
        <v>3617.77</v>
      </c>
      <c r="C13" s="70"/>
      <c r="D13" s="76"/>
      <c r="E13" s="76"/>
      <c r="F13" s="76"/>
      <c r="G13" s="76"/>
      <c r="H13" s="77"/>
      <c r="I13" s="41">
        <f t="shared" si="3"/>
        <v>3617.77</v>
      </c>
      <c r="J13" s="11">
        <v>104.61</v>
      </c>
      <c r="K13" s="11">
        <v>365.42</v>
      </c>
      <c r="L13" s="4">
        <f t="shared" si="0"/>
        <v>1232.4799999999998</v>
      </c>
      <c r="M13" s="4">
        <f t="shared" si="1"/>
        <v>1702.5099999999998</v>
      </c>
      <c r="N13" s="52">
        <f t="shared" si="2"/>
        <v>1915.2600000000002</v>
      </c>
      <c r="O13" s="59"/>
      <c r="P13" s="60">
        <v>1915.26</v>
      </c>
    </row>
    <row r="14" spans="1:17" x14ac:dyDescent="0.25">
      <c r="A14" s="49" t="s">
        <v>5</v>
      </c>
      <c r="B14" s="44">
        <f>11980.55+5930.37</f>
        <v>17910.919999999998</v>
      </c>
      <c r="C14" s="70">
        <f>4792.22+1198.06</f>
        <v>5990.2800000000007</v>
      </c>
      <c r="D14" s="76"/>
      <c r="E14" s="76"/>
      <c r="F14" s="76"/>
      <c r="G14" s="76"/>
      <c r="H14" s="77"/>
      <c r="I14" s="41">
        <f t="shared" si="3"/>
        <v>23901.199999999997</v>
      </c>
      <c r="J14" s="11">
        <v>5507.37</v>
      </c>
      <c r="K14" s="11">
        <v>713.08</v>
      </c>
      <c r="L14" s="4">
        <f>I14-J14-K14-P14</f>
        <v>104.48999999999796</v>
      </c>
      <c r="M14" s="4">
        <f t="shared" si="1"/>
        <v>6324.9399999999978</v>
      </c>
      <c r="N14" s="52">
        <f t="shared" si="2"/>
        <v>17576.259999999998</v>
      </c>
      <c r="O14" s="59"/>
      <c r="P14" s="60">
        <v>17576.259999999998</v>
      </c>
    </row>
    <row r="15" spans="1:17" x14ac:dyDescent="0.25">
      <c r="A15" s="49" t="s">
        <v>6</v>
      </c>
      <c r="B15" s="44">
        <f>10370.38+3608.89</f>
        <v>13979.269999999999</v>
      </c>
      <c r="C15" s="70">
        <v>2074.08</v>
      </c>
      <c r="D15" s="76"/>
      <c r="E15" s="76"/>
      <c r="F15" s="76"/>
      <c r="G15" s="76"/>
      <c r="H15" s="77"/>
      <c r="I15" s="41">
        <f t="shared" si="3"/>
        <v>16053.349999999999</v>
      </c>
      <c r="J15" s="11">
        <v>3297.08</v>
      </c>
      <c r="K15" s="11">
        <v>713.08</v>
      </c>
      <c r="L15" s="4">
        <f t="shared" ref="L15:L42" si="7">I15-J15-K15-P15</f>
        <v>232.49999999999818</v>
      </c>
      <c r="M15" s="4">
        <f t="shared" si="1"/>
        <v>4242.659999999998</v>
      </c>
      <c r="N15" s="52">
        <f t="shared" si="2"/>
        <v>11810.69</v>
      </c>
      <c r="O15" s="59"/>
      <c r="P15" s="60">
        <v>11810.69</v>
      </c>
    </row>
    <row r="16" spans="1:17" x14ac:dyDescent="0.25">
      <c r="A16" s="49" t="s">
        <v>7</v>
      </c>
      <c r="B16" s="44">
        <f>11980.55+3522.28</f>
        <v>15502.83</v>
      </c>
      <c r="C16" s="70">
        <v>4792.22</v>
      </c>
      <c r="D16" s="76"/>
      <c r="E16" s="76"/>
      <c r="F16" s="76"/>
      <c r="G16" s="76"/>
      <c r="H16" s="77"/>
      <c r="I16" s="41">
        <f t="shared" si="3"/>
        <v>20295.05</v>
      </c>
      <c r="J16" s="11">
        <v>4515.68</v>
      </c>
      <c r="K16" s="11">
        <v>713.08</v>
      </c>
      <c r="L16" s="4">
        <f t="shared" si="7"/>
        <v>107.19999999999891</v>
      </c>
      <c r="M16" s="4">
        <f t="shared" si="1"/>
        <v>5335.9599999999991</v>
      </c>
      <c r="N16" s="52">
        <f t="shared" si="2"/>
        <v>14959.09</v>
      </c>
      <c r="O16" s="59"/>
      <c r="P16" s="60">
        <v>14959.09</v>
      </c>
    </row>
    <row r="17" spans="1:16" x14ac:dyDescent="0.25">
      <c r="A17" s="49" t="s">
        <v>8</v>
      </c>
      <c r="B17" s="44">
        <v>2433.34</v>
      </c>
      <c r="C17" s="70"/>
      <c r="D17" s="76"/>
      <c r="E17" s="76"/>
      <c r="F17" s="76"/>
      <c r="G17" s="76"/>
      <c r="H17" s="77"/>
      <c r="I17" s="41">
        <f t="shared" si="3"/>
        <v>2433.34</v>
      </c>
      <c r="J17" s="11">
        <v>23.68</v>
      </c>
      <c r="K17" s="11">
        <v>213.63</v>
      </c>
      <c r="L17" s="4">
        <f t="shared" si="7"/>
        <v>17.490000000000236</v>
      </c>
      <c r="M17" s="4">
        <f t="shared" si="1"/>
        <v>254.80000000000024</v>
      </c>
      <c r="N17" s="52">
        <f t="shared" si="2"/>
        <v>2178.54</v>
      </c>
      <c r="O17" s="59"/>
      <c r="P17" s="60">
        <v>2178.54</v>
      </c>
    </row>
    <row r="18" spans="1:16" x14ac:dyDescent="0.25">
      <c r="A18" s="49" t="s">
        <v>9</v>
      </c>
      <c r="B18" s="44">
        <v>2244.59</v>
      </c>
      <c r="C18" s="70"/>
      <c r="D18" s="76"/>
      <c r="E18" s="76"/>
      <c r="F18" s="76"/>
      <c r="G18" s="76"/>
      <c r="H18" s="77"/>
      <c r="I18" s="41">
        <f t="shared" si="3"/>
        <v>2244.59</v>
      </c>
      <c r="J18" s="11">
        <v>11.22</v>
      </c>
      <c r="K18" s="11">
        <v>190.98</v>
      </c>
      <c r="L18" s="4">
        <f t="shared" si="7"/>
        <v>15.030000000000427</v>
      </c>
      <c r="M18" s="4">
        <f t="shared" si="1"/>
        <v>217.23000000000042</v>
      </c>
      <c r="N18" s="52">
        <f t="shared" si="2"/>
        <v>2027.3599999999997</v>
      </c>
      <c r="O18" s="59"/>
      <c r="P18" s="60">
        <v>2027.36</v>
      </c>
    </row>
    <row r="19" spans="1:16" x14ac:dyDescent="0.25">
      <c r="A19" s="49" t="s">
        <v>82</v>
      </c>
      <c r="B19" s="44">
        <v>2696.27</v>
      </c>
      <c r="C19" s="70">
        <v>100</v>
      </c>
      <c r="D19" s="76"/>
      <c r="E19" s="76"/>
      <c r="F19" s="76"/>
      <c r="G19" s="76"/>
      <c r="H19" s="77"/>
      <c r="I19" s="41">
        <f t="shared" si="3"/>
        <v>2796.27</v>
      </c>
      <c r="J19" s="11">
        <v>33.409999999999997</v>
      </c>
      <c r="K19" s="11">
        <v>257.18</v>
      </c>
      <c r="L19" s="4">
        <f t="shared" si="7"/>
        <v>268.54000000000042</v>
      </c>
      <c r="M19" s="4">
        <f t="shared" si="1"/>
        <v>559.13000000000045</v>
      </c>
      <c r="N19" s="52">
        <f t="shared" si="2"/>
        <v>2237.1399999999994</v>
      </c>
      <c r="O19" s="59"/>
      <c r="P19" s="60">
        <v>2237.14</v>
      </c>
    </row>
    <row r="20" spans="1:16" x14ac:dyDescent="0.25">
      <c r="A20" s="49" t="s">
        <v>10</v>
      </c>
      <c r="B20" s="44">
        <f>5026.06+784.07</f>
        <v>5810.13</v>
      </c>
      <c r="C20" s="70">
        <v>1005.21</v>
      </c>
      <c r="D20" s="76"/>
      <c r="E20" s="76"/>
      <c r="F20" s="76"/>
      <c r="G20" s="76"/>
      <c r="H20" s="77"/>
      <c r="I20" s="41">
        <f t="shared" si="3"/>
        <v>6815.34</v>
      </c>
      <c r="J20" s="11">
        <v>652.35</v>
      </c>
      <c r="K20" s="11">
        <f>303.77+409.31</f>
        <v>713.07999999999993</v>
      </c>
      <c r="L20" s="4">
        <f t="shared" si="7"/>
        <v>546.47000000000025</v>
      </c>
      <c r="M20" s="4">
        <f t="shared" si="1"/>
        <v>1911.9</v>
      </c>
      <c r="N20" s="52">
        <f t="shared" si="2"/>
        <v>4903.4400000000005</v>
      </c>
      <c r="O20" s="59"/>
      <c r="P20" s="60">
        <v>4903.4399999999996</v>
      </c>
    </row>
    <row r="21" spans="1:16" x14ac:dyDescent="0.25">
      <c r="A21" s="49" t="s">
        <v>11</v>
      </c>
      <c r="B21" s="44">
        <f>2274.15+181.93</f>
        <v>2456.08</v>
      </c>
      <c r="C21" s="70"/>
      <c r="D21" s="76"/>
      <c r="E21" s="76"/>
      <c r="F21" s="76"/>
      <c r="G21" s="76"/>
      <c r="H21" s="77"/>
      <c r="I21" s="41">
        <f t="shared" si="3"/>
        <v>2456.08</v>
      </c>
      <c r="J21" s="11">
        <v>25.18</v>
      </c>
      <c r="K21" s="11">
        <v>216.35</v>
      </c>
      <c r="L21" s="4">
        <f t="shared" si="7"/>
        <v>28.860000000000127</v>
      </c>
      <c r="M21" s="4">
        <f t="shared" si="1"/>
        <v>270.3900000000001</v>
      </c>
      <c r="N21" s="52">
        <f t="shared" si="2"/>
        <v>2185.6899999999996</v>
      </c>
      <c r="O21" s="59"/>
      <c r="P21" s="60">
        <v>2185.69</v>
      </c>
    </row>
    <row r="22" spans="1:16" x14ac:dyDescent="0.25">
      <c r="A22" s="49" t="s">
        <v>12</v>
      </c>
      <c r="B22" s="44">
        <f>13212.02+7451.58</f>
        <v>20663.599999999999</v>
      </c>
      <c r="C22" s="70">
        <v>17836.23</v>
      </c>
      <c r="D22" s="76"/>
      <c r="E22" s="76"/>
      <c r="F22" s="76"/>
      <c r="G22" s="76"/>
      <c r="H22" s="77"/>
      <c r="I22" s="41">
        <f t="shared" si="3"/>
        <v>38499.83</v>
      </c>
      <c r="J22" s="11">
        <v>9522</v>
      </c>
      <c r="K22" s="11">
        <v>713.08</v>
      </c>
      <c r="L22" s="4">
        <f t="shared" si="7"/>
        <v>263.86999999999898</v>
      </c>
      <c r="M22" s="4">
        <f t="shared" si="1"/>
        <v>10498.949999999999</v>
      </c>
      <c r="N22" s="52">
        <f t="shared" si="2"/>
        <v>28000.880000000005</v>
      </c>
      <c r="O22" s="59"/>
      <c r="P22" s="60">
        <v>28000.880000000001</v>
      </c>
    </row>
    <row r="23" spans="1:16" x14ac:dyDescent="0.25">
      <c r="A23" s="49" t="s">
        <v>13</v>
      </c>
      <c r="B23" s="44">
        <f>11980.55+3737.93</f>
        <v>15718.48</v>
      </c>
      <c r="C23" s="70">
        <v>2396.11</v>
      </c>
      <c r="D23" s="76"/>
      <c r="E23" s="76"/>
      <c r="F23" s="76"/>
      <c r="G23" s="76"/>
      <c r="H23" s="77"/>
      <c r="I23" s="41">
        <f t="shared" si="3"/>
        <v>18114.59</v>
      </c>
      <c r="J23" s="11">
        <v>3863.92</v>
      </c>
      <c r="K23" s="11">
        <v>713.08</v>
      </c>
      <c r="L23" s="4">
        <f t="shared" si="7"/>
        <v>2145</v>
      </c>
      <c r="M23" s="4">
        <f t="shared" si="1"/>
        <v>6722</v>
      </c>
      <c r="N23" s="52">
        <f t="shared" si="2"/>
        <v>11392.59</v>
      </c>
      <c r="O23" s="59"/>
      <c r="P23" s="60">
        <v>11392.59</v>
      </c>
    </row>
    <row r="24" spans="1:16" x14ac:dyDescent="0.25">
      <c r="A24" s="49" t="s">
        <v>14</v>
      </c>
      <c r="B24" s="44">
        <f>5216.65+1147.66</f>
        <v>6364.3099999999995</v>
      </c>
      <c r="C24" s="70"/>
      <c r="D24" s="76"/>
      <c r="E24" s="76"/>
      <c r="F24" s="76"/>
      <c r="G24" s="76"/>
      <c r="H24" s="77"/>
      <c r="I24" s="41">
        <f t="shared" si="3"/>
        <v>6364.3099999999995</v>
      </c>
      <c r="J24" s="11">
        <v>580.45000000000005</v>
      </c>
      <c r="K24" s="11">
        <v>713.08</v>
      </c>
      <c r="L24" s="4">
        <f t="shared" si="7"/>
        <v>1333.56</v>
      </c>
      <c r="M24" s="4">
        <f t="shared" si="1"/>
        <v>2627.09</v>
      </c>
      <c r="N24" s="52">
        <f t="shared" si="2"/>
        <v>3737.2199999999993</v>
      </c>
      <c r="O24" s="59"/>
      <c r="P24" s="60">
        <v>3737.22</v>
      </c>
    </row>
    <row r="25" spans="1:16" x14ac:dyDescent="0.25">
      <c r="A25" s="49" t="s">
        <v>69</v>
      </c>
      <c r="B25" s="44">
        <v>2860.75</v>
      </c>
      <c r="C25" s="70"/>
      <c r="D25" s="76"/>
      <c r="E25" s="76"/>
      <c r="F25" s="76"/>
      <c r="G25" s="76"/>
      <c r="H25" s="77"/>
      <c r="I25" s="41">
        <f t="shared" si="3"/>
        <v>2860.75</v>
      </c>
      <c r="J25" s="11">
        <v>51.89</v>
      </c>
      <c r="K25" s="11">
        <v>264.92</v>
      </c>
      <c r="L25" s="4">
        <f t="shared" si="7"/>
        <v>129.75</v>
      </c>
      <c r="M25" s="4">
        <f t="shared" si="1"/>
        <v>446.56</v>
      </c>
      <c r="N25" s="52">
        <f t="shared" si="2"/>
        <v>2414.19</v>
      </c>
      <c r="O25" s="59"/>
      <c r="P25" s="60">
        <v>2414.19</v>
      </c>
    </row>
    <row r="26" spans="1:16" x14ac:dyDescent="0.25">
      <c r="A26" s="49" t="s">
        <v>15</v>
      </c>
      <c r="B26" s="44">
        <f>11980.55+3737.93</f>
        <v>15718.48</v>
      </c>
      <c r="C26" s="70">
        <v>2396.11</v>
      </c>
      <c r="D26" s="76"/>
      <c r="E26" s="76"/>
      <c r="F26" s="76"/>
      <c r="G26" s="76"/>
      <c r="H26" s="77"/>
      <c r="I26" s="41">
        <f t="shared" si="3"/>
        <v>18114.59</v>
      </c>
      <c r="J26" s="11">
        <v>3863.92</v>
      </c>
      <c r="K26" s="11">
        <v>713.08</v>
      </c>
      <c r="L26" s="4">
        <f t="shared" si="7"/>
        <v>4327.2100000000009</v>
      </c>
      <c r="M26" s="4">
        <f t="shared" si="1"/>
        <v>8904.2100000000009</v>
      </c>
      <c r="N26" s="52">
        <f t="shared" si="2"/>
        <v>9210.3799999999992</v>
      </c>
      <c r="O26" s="59"/>
      <c r="P26" s="60">
        <v>9210.3799999999992</v>
      </c>
    </row>
    <row r="27" spans="1:16" x14ac:dyDescent="0.25">
      <c r="A27" s="49" t="s">
        <v>16</v>
      </c>
      <c r="B27" s="44">
        <f>5216.65+1565</f>
        <v>6781.65</v>
      </c>
      <c r="C27" s="70"/>
      <c r="D27" s="76"/>
      <c r="E27" s="76"/>
      <c r="F27" s="76"/>
      <c r="G27" s="76"/>
      <c r="H27" s="77"/>
      <c r="I27" s="41">
        <f t="shared" si="3"/>
        <v>6781.65</v>
      </c>
      <c r="J27" s="11">
        <v>695.22</v>
      </c>
      <c r="K27" s="11">
        <v>713.08</v>
      </c>
      <c r="L27" s="4">
        <f t="shared" si="7"/>
        <v>58.289999999999054</v>
      </c>
      <c r="M27" s="4">
        <f t="shared" si="1"/>
        <v>1466.5899999999992</v>
      </c>
      <c r="N27" s="52">
        <f>SUM(I27-M27)+G27</f>
        <v>5315.06</v>
      </c>
      <c r="O27" s="59"/>
      <c r="P27" s="60">
        <v>5315.06</v>
      </c>
    </row>
    <row r="28" spans="1:16" x14ac:dyDescent="0.25">
      <c r="A28" s="49" t="s">
        <v>17</v>
      </c>
      <c r="B28" s="44">
        <v>7426.39</v>
      </c>
      <c r="C28" s="70"/>
      <c r="D28" s="76"/>
      <c r="E28" s="76"/>
      <c r="F28" s="76"/>
      <c r="G28" s="76"/>
      <c r="H28" s="77"/>
      <c r="I28" s="41">
        <f t="shared" si="3"/>
        <v>7426.39</v>
      </c>
      <c r="J28" s="11">
        <v>976.8</v>
      </c>
      <c r="K28" s="11">
        <v>713.08</v>
      </c>
      <c r="L28" s="4">
        <f t="shared" si="7"/>
        <v>76.180000000000291</v>
      </c>
      <c r="M28" s="4">
        <f t="shared" si="1"/>
        <v>1766.0600000000004</v>
      </c>
      <c r="N28" s="52">
        <f t="shared" si="2"/>
        <v>5660.33</v>
      </c>
      <c r="O28" s="59"/>
      <c r="P28" s="60">
        <v>5660.33</v>
      </c>
    </row>
    <row r="29" spans="1:16" x14ac:dyDescent="0.25">
      <c r="A29" s="49" t="s">
        <v>18</v>
      </c>
      <c r="B29" s="44">
        <f>875.01+70</f>
        <v>945.01</v>
      </c>
      <c r="C29" s="70"/>
      <c r="D29" s="76"/>
      <c r="E29" s="76">
        <f>1312.51+105+472.51</f>
        <v>1890.02</v>
      </c>
      <c r="F29" s="76"/>
      <c r="G29" s="76"/>
      <c r="H29" s="77"/>
      <c r="I29" s="41">
        <f t="shared" si="3"/>
        <v>2835.0299999999997</v>
      </c>
      <c r="J29" s="11"/>
      <c r="K29" s="11">
        <f>81.87+179.96</f>
        <v>261.83000000000004</v>
      </c>
      <c r="L29" s="4">
        <f t="shared" si="7"/>
        <v>1770.06</v>
      </c>
      <c r="M29" s="4">
        <f t="shared" si="1"/>
        <v>2031.8899999999999</v>
      </c>
      <c r="N29" s="52">
        <f t="shared" si="2"/>
        <v>803.13999999999987</v>
      </c>
      <c r="O29" s="59"/>
      <c r="P29" s="60">
        <v>803.14</v>
      </c>
    </row>
    <row r="30" spans="1:16" x14ac:dyDescent="0.25">
      <c r="A30" s="49" t="s">
        <v>19</v>
      </c>
      <c r="B30" s="44">
        <f>3578.83+882.43</f>
        <v>4461.26</v>
      </c>
      <c r="C30" s="70">
        <v>833.33</v>
      </c>
      <c r="D30" s="76"/>
      <c r="E30" s="76">
        <f>166.67+715.77+176.49+352.98</f>
        <v>1411.9099999999999</v>
      </c>
      <c r="F30" s="76"/>
      <c r="G30" s="76"/>
      <c r="H30" s="77"/>
      <c r="I30" s="41">
        <f t="shared" si="3"/>
        <v>6706.5</v>
      </c>
      <c r="J30" s="11">
        <f>334.46</f>
        <v>334.46</v>
      </c>
      <c r="K30" s="11">
        <f>601.69+111.39</f>
        <v>713.08</v>
      </c>
      <c r="L30" s="4">
        <f t="shared" si="7"/>
        <v>1945.92</v>
      </c>
      <c r="M30" s="4">
        <f t="shared" si="1"/>
        <v>2993.46</v>
      </c>
      <c r="N30" s="52">
        <f t="shared" si="2"/>
        <v>3713.04</v>
      </c>
      <c r="O30" s="59"/>
      <c r="P30" s="60">
        <v>3713.04</v>
      </c>
    </row>
    <row r="31" spans="1:16" x14ac:dyDescent="0.25">
      <c r="A31" s="49" t="s">
        <v>20</v>
      </c>
      <c r="B31" s="44">
        <v>6172.48</v>
      </c>
      <c r="C31" s="70"/>
      <c r="D31" s="76"/>
      <c r="E31" s="76"/>
      <c r="F31" s="76"/>
      <c r="G31" s="76"/>
      <c r="H31" s="77"/>
      <c r="I31" s="41">
        <f t="shared" si="3"/>
        <v>6172.48</v>
      </c>
      <c r="J31" s="11">
        <v>631.97</v>
      </c>
      <c r="K31" s="11">
        <v>713.08</v>
      </c>
      <c r="L31" s="4">
        <f t="shared" si="7"/>
        <v>216.3799999999992</v>
      </c>
      <c r="M31" s="4">
        <f t="shared" si="1"/>
        <v>1561.4299999999994</v>
      </c>
      <c r="N31" s="52">
        <f t="shared" si="2"/>
        <v>4611.05</v>
      </c>
      <c r="O31" s="59"/>
      <c r="P31" s="60">
        <v>4611.05</v>
      </c>
    </row>
    <row r="32" spans="1:16" x14ac:dyDescent="0.25">
      <c r="A32" s="49" t="s">
        <v>21</v>
      </c>
      <c r="B32" s="44">
        <f>7308.24</f>
        <v>7308.24</v>
      </c>
      <c r="C32" s="70"/>
      <c r="D32" s="76"/>
      <c r="E32" s="76"/>
      <c r="F32" s="76"/>
      <c r="G32" s="76"/>
      <c r="H32" s="77"/>
      <c r="I32" s="41">
        <f t="shared" si="3"/>
        <v>7308.24</v>
      </c>
      <c r="J32" s="11">
        <v>944.31</v>
      </c>
      <c r="K32" s="11">
        <v>713.08</v>
      </c>
      <c r="L32" s="4">
        <f t="shared" si="7"/>
        <v>1381.17</v>
      </c>
      <c r="M32" s="4">
        <f t="shared" si="1"/>
        <v>3038.56</v>
      </c>
      <c r="N32" s="52">
        <f t="shared" si="2"/>
        <v>4269.68</v>
      </c>
      <c r="O32" s="59"/>
      <c r="P32" s="60">
        <v>4269.68</v>
      </c>
    </row>
    <row r="33" spans="1:16" x14ac:dyDescent="0.25">
      <c r="A33" s="49" t="s">
        <v>74</v>
      </c>
      <c r="B33" s="44">
        <f>4441.25+88.83</f>
        <v>4530.08</v>
      </c>
      <c r="C33" s="70"/>
      <c r="D33" s="76"/>
      <c r="E33" s="76"/>
      <c r="F33" s="76"/>
      <c r="G33" s="76"/>
      <c r="H33" s="77"/>
      <c r="I33" s="41">
        <f t="shared" si="3"/>
        <v>4530.08</v>
      </c>
      <c r="J33" s="11">
        <v>272.18</v>
      </c>
      <c r="K33" s="11">
        <v>493.15</v>
      </c>
      <c r="L33" s="4">
        <f t="shared" ref="L33" si="8">I33-J33-K33-P33</f>
        <v>85.519999999999527</v>
      </c>
      <c r="M33" s="4">
        <f t="shared" ref="M33" si="9">SUM(J33:L33)</f>
        <v>850.84999999999945</v>
      </c>
      <c r="N33" s="52">
        <f>SUM(I33-M33)+G33</f>
        <v>3679.2300000000005</v>
      </c>
      <c r="O33" s="59"/>
      <c r="P33" s="60">
        <v>3679.23</v>
      </c>
    </row>
    <row r="34" spans="1:16" x14ac:dyDescent="0.25">
      <c r="A34" s="49" t="s">
        <v>22</v>
      </c>
      <c r="B34" s="44">
        <v>2063.08</v>
      </c>
      <c r="C34" s="70"/>
      <c r="D34" s="76"/>
      <c r="E34" s="76"/>
      <c r="F34" s="76"/>
      <c r="G34" s="76"/>
      <c r="H34" s="77"/>
      <c r="I34" s="41">
        <f t="shared" si="3"/>
        <v>2063.08</v>
      </c>
      <c r="J34" s="11"/>
      <c r="K34" s="11">
        <v>169.99</v>
      </c>
      <c r="L34" s="4">
        <f t="shared" si="7"/>
        <v>23.309999999999945</v>
      </c>
      <c r="M34" s="4">
        <f t="shared" si="1"/>
        <v>193.29999999999995</v>
      </c>
      <c r="N34" s="52">
        <f>SUM(I34-M34)+G34</f>
        <v>1869.78</v>
      </c>
      <c r="O34" s="59"/>
      <c r="P34" s="60">
        <v>1869.78</v>
      </c>
    </row>
    <row r="35" spans="1:16" x14ac:dyDescent="0.25">
      <c r="A35" s="49" t="s">
        <v>23</v>
      </c>
      <c r="B35" s="44">
        <f>5021.09+723.04</f>
        <v>5744.13</v>
      </c>
      <c r="C35" s="70">
        <v>1004.22</v>
      </c>
      <c r="D35" s="76"/>
      <c r="E35" s="76"/>
      <c r="F35" s="76"/>
      <c r="G35" s="76"/>
      <c r="H35" s="77"/>
      <c r="I35" s="41">
        <f t="shared" si="3"/>
        <v>6748.35</v>
      </c>
      <c r="J35" s="11">
        <v>790.34</v>
      </c>
      <c r="K35" s="11">
        <f>229.92+483.16</f>
        <v>713.08</v>
      </c>
      <c r="L35" s="4">
        <f t="shared" si="7"/>
        <v>66.0600000000004</v>
      </c>
      <c r="M35" s="4">
        <f t="shared" si="1"/>
        <v>1569.4800000000005</v>
      </c>
      <c r="N35" s="52">
        <f t="shared" si="2"/>
        <v>5178.87</v>
      </c>
      <c r="O35" s="59"/>
      <c r="P35" s="60">
        <v>5178.87</v>
      </c>
    </row>
    <row r="36" spans="1:16" x14ac:dyDescent="0.25">
      <c r="A36" s="49" t="s">
        <v>24</v>
      </c>
      <c r="B36" s="44">
        <f>11980.55+3737.93</f>
        <v>15718.48</v>
      </c>
      <c r="C36" s="70">
        <v>2396.11</v>
      </c>
      <c r="D36" s="76"/>
      <c r="E36" s="76"/>
      <c r="F36" s="76"/>
      <c r="G36" s="76"/>
      <c r="H36" s="77"/>
      <c r="I36" s="41">
        <f t="shared" si="3"/>
        <v>18114.59</v>
      </c>
      <c r="J36" s="11">
        <v>3863.92</v>
      </c>
      <c r="K36" s="11">
        <v>713.08</v>
      </c>
      <c r="L36" s="4">
        <f t="shared" si="7"/>
        <v>521.52000000000044</v>
      </c>
      <c r="M36" s="4">
        <f t="shared" si="1"/>
        <v>5098.5200000000004</v>
      </c>
      <c r="N36" s="52">
        <f>SUM(I36-M36)+G36</f>
        <v>13016.07</v>
      </c>
      <c r="O36" s="59"/>
      <c r="P36" s="60">
        <v>13016.07</v>
      </c>
    </row>
    <row r="37" spans="1:16" x14ac:dyDescent="0.25">
      <c r="A37" s="49" t="s">
        <v>25</v>
      </c>
      <c r="B37" s="44">
        <f>11980.55+3450.4</f>
        <v>15430.949999999999</v>
      </c>
      <c r="C37" s="70">
        <v>2396.11</v>
      </c>
      <c r="D37" s="76"/>
      <c r="E37" s="76"/>
      <c r="F37" s="76"/>
      <c r="G37" s="76"/>
      <c r="H37" s="77"/>
      <c r="I37" s="41">
        <f t="shared" si="3"/>
        <v>17827.059999999998</v>
      </c>
      <c r="J37" s="11">
        <v>3784.85</v>
      </c>
      <c r="K37" s="11">
        <v>713.08</v>
      </c>
      <c r="L37" s="4">
        <f t="shared" si="7"/>
        <v>125.92999999999665</v>
      </c>
      <c r="M37" s="4">
        <f t="shared" si="1"/>
        <v>4623.8599999999969</v>
      </c>
      <c r="N37" s="52">
        <f t="shared" si="2"/>
        <v>13203.2</v>
      </c>
      <c r="O37" s="59"/>
      <c r="P37" s="60">
        <v>13203.2</v>
      </c>
    </row>
    <row r="38" spans="1:16" x14ac:dyDescent="0.25">
      <c r="A38" s="49" t="s">
        <v>75</v>
      </c>
      <c r="B38" s="44">
        <f>4927.52+591.3</f>
        <v>5518.8200000000006</v>
      </c>
      <c r="C38" s="70">
        <v>1085.5</v>
      </c>
      <c r="D38" s="76"/>
      <c r="E38" s="76"/>
      <c r="F38" s="76"/>
      <c r="G38" s="76"/>
      <c r="H38" s="77"/>
      <c r="I38" s="41">
        <f t="shared" si="3"/>
        <v>6604.3200000000006</v>
      </c>
      <c r="J38" s="11">
        <v>750.73</v>
      </c>
      <c r="K38" s="11">
        <v>713.08</v>
      </c>
      <c r="L38" s="4">
        <f t="shared" si="7"/>
        <v>192.57999999999993</v>
      </c>
      <c r="M38" s="4">
        <f t="shared" si="1"/>
        <v>1656.3899999999999</v>
      </c>
      <c r="N38" s="52">
        <f t="shared" si="2"/>
        <v>4947.93</v>
      </c>
      <c r="O38" s="59"/>
      <c r="P38" s="60">
        <v>4947.93</v>
      </c>
    </row>
    <row r="39" spans="1:16" x14ac:dyDescent="0.25">
      <c r="A39" s="49" t="s">
        <v>26</v>
      </c>
      <c r="B39" s="44">
        <f>4657.65+335.35</f>
        <v>4993</v>
      </c>
      <c r="C39" s="70">
        <v>931.53</v>
      </c>
      <c r="D39" s="76"/>
      <c r="E39" s="76"/>
      <c r="F39" s="76"/>
      <c r="G39" s="76"/>
      <c r="H39" s="77"/>
      <c r="I39" s="41">
        <f t="shared" si="3"/>
        <v>5924.53</v>
      </c>
      <c r="J39" s="11">
        <v>466.31</v>
      </c>
      <c r="K39" s="11">
        <v>688.37</v>
      </c>
      <c r="L39" s="4">
        <f t="shared" si="7"/>
        <v>1408.9899999999993</v>
      </c>
      <c r="M39" s="4">
        <f t="shared" si="1"/>
        <v>2563.6699999999992</v>
      </c>
      <c r="N39" s="52">
        <f>SUM(I39-M39)+G39</f>
        <v>3360.8600000000006</v>
      </c>
      <c r="O39" s="59"/>
      <c r="P39" s="60">
        <v>3360.86</v>
      </c>
    </row>
    <row r="40" spans="1:16" x14ac:dyDescent="0.25">
      <c r="A40" s="49" t="s">
        <v>71</v>
      </c>
      <c r="B40" s="44">
        <v>1862.88</v>
      </c>
      <c r="C40" s="70"/>
      <c r="D40" s="76"/>
      <c r="E40" s="76"/>
      <c r="F40" s="76"/>
      <c r="G40" s="76"/>
      <c r="H40" s="77"/>
      <c r="I40" s="41">
        <f t="shared" si="3"/>
        <v>1862.88</v>
      </c>
      <c r="J40" s="11"/>
      <c r="K40" s="11">
        <v>151.97</v>
      </c>
      <c r="L40" s="4">
        <f t="shared" ref="L40" si="10">I40-J40-K40-P40</f>
        <v>15.25</v>
      </c>
      <c r="M40" s="4">
        <f t="shared" ref="M40" si="11">SUM(J40:L40)</f>
        <v>167.22</v>
      </c>
      <c r="N40" s="52">
        <f t="shared" ref="N40" si="12">SUM(I40-M40)</f>
        <v>1695.66</v>
      </c>
      <c r="O40" s="59"/>
      <c r="P40" s="60">
        <v>1695.66</v>
      </c>
    </row>
    <row r="41" spans="1:16" x14ac:dyDescent="0.25">
      <c r="A41" s="49" t="s">
        <v>27</v>
      </c>
      <c r="B41" s="44">
        <v>3015.51</v>
      </c>
      <c r="C41" s="70"/>
      <c r="D41" s="76"/>
      <c r="E41" s="76"/>
      <c r="F41" s="76"/>
      <c r="G41" s="76"/>
      <c r="H41" s="77"/>
      <c r="I41" s="41">
        <f t="shared" si="3"/>
        <v>3015.51</v>
      </c>
      <c r="J41" s="11">
        <v>62.1</v>
      </c>
      <c r="K41" s="11">
        <v>283.49</v>
      </c>
      <c r="L41" s="4">
        <f t="shared" si="7"/>
        <v>825.95</v>
      </c>
      <c r="M41" s="4">
        <f t="shared" si="1"/>
        <v>1171.54</v>
      </c>
      <c r="N41" s="52">
        <f t="shared" si="2"/>
        <v>1843.9700000000003</v>
      </c>
      <c r="O41" s="59"/>
      <c r="P41" s="60">
        <v>1843.97</v>
      </c>
    </row>
    <row r="42" spans="1:16" ht="15.75" thickBot="1" x14ac:dyDescent="0.3">
      <c r="A42" s="49" t="s">
        <v>28</v>
      </c>
      <c r="B42" s="45">
        <f>11980.55+3594.17</f>
        <v>15574.72</v>
      </c>
      <c r="C42" s="71">
        <v>2396.11</v>
      </c>
      <c r="D42" s="76"/>
      <c r="E42" s="76"/>
      <c r="F42" s="76"/>
      <c r="G42" s="76"/>
      <c r="H42" s="77"/>
      <c r="I42" s="42">
        <f>SUM(B42:H42)</f>
        <v>17970.829999999998</v>
      </c>
      <c r="J42" s="11">
        <v>3772.25</v>
      </c>
      <c r="K42" s="11">
        <v>713.08</v>
      </c>
      <c r="L42" s="4">
        <f t="shared" si="7"/>
        <v>63.119999999998981</v>
      </c>
      <c r="M42" s="4">
        <f t="shared" si="1"/>
        <v>4548.4499999999989</v>
      </c>
      <c r="N42" s="53">
        <f t="shared" si="2"/>
        <v>13422.38</v>
      </c>
      <c r="O42" s="59"/>
      <c r="P42" s="60">
        <v>13422.38</v>
      </c>
    </row>
    <row r="43" spans="1:16" x14ac:dyDescent="0.25">
      <c r="A43" s="83" t="s">
        <v>58</v>
      </c>
      <c r="B43" s="85" t="s">
        <v>48</v>
      </c>
      <c r="C43" s="89" t="s">
        <v>87</v>
      </c>
      <c r="D43" s="87" t="s">
        <v>49</v>
      </c>
      <c r="E43" s="87" t="s">
        <v>88</v>
      </c>
      <c r="F43" s="65" t="s">
        <v>89</v>
      </c>
      <c r="G43" s="67" t="s">
        <v>91</v>
      </c>
      <c r="H43" s="36" t="s">
        <v>63</v>
      </c>
      <c r="I43" s="55" t="s">
        <v>50</v>
      </c>
      <c r="J43" s="106" t="s">
        <v>52</v>
      </c>
      <c r="K43" s="106" t="s">
        <v>53</v>
      </c>
      <c r="L43" s="36" t="s">
        <v>54</v>
      </c>
      <c r="M43" s="36" t="s">
        <v>56</v>
      </c>
      <c r="N43" s="57" t="s">
        <v>50</v>
      </c>
      <c r="O43" s="62"/>
      <c r="P43" s="62"/>
    </row>
    <row r="44" spans="1:16" ht="15.75" thickBot="1" x14ac:dyDescent="0.3">
      <c r="A44" s="84"/>
      <c r="B44" s="86"/>
      <c r="C44" s="90"/>
      <c r="D44" s="88"/>
      <c r="E44" s="88"/>
      <c r="F44" s="66" t="s">
        <v>90</v>
      </c>
      <c r="G44" s="68" t="s">
        <v>67</v>
      </c>
      <c r="H44" s="37" t="s">
        <v>64</v>
      </c>
      <c r="I44" s="56" t="s">
        <v>51</v>
      </c>
      <c r="J44" s="107"/>
      <c r="K44" s="107"/>
      <c r="L44" s="37" t="s">
        <v>55</v>
      </c>
      <c r="M44" s="37" t="s">
        <v>55</v>
      </c>
      <c r="N44" s="58" t="s">
        <v>57</v>
      </c>
      <c r="O44" s="62"/>
      <c r="P44" s="62"/>
    </row>
    <row r="45" spans="1:16" x14ac:dyDescent="0.25">
      <c r="A45" s="49" t="s">
        <v>29</v>
      </c>
      <c r="B45" s="47">
        <v>2069.3000000000002</v>
      </c>
      <c r="C45" s="72"/>
      <c r="D45" s="76"/>
      <c r="E45" s="76"/>
      <c r="F45" s="76"/>
      <c r="G45" s="76"/>
      <c r="H45" s="77"/>
      <c r="I45" s="46">
        <f>SUM(B45:H45)</f>
        <v>2069.3000000000002</v>
      </c>
      <c r="J45" s="11"/>
      <c r="K45" s="11">
        <v>170.55</v>
      </c>
      <c r="L45" s="4">
        <f t="shared" ref="L45:L66" si="13">I45-J45-K45-P45</f>
        <v>754.55000000000018</v>
      </c>
      <c r="M45" s="4">
        <f t="shared" si="1"/>
        <v>925.10000000000014</v>
      </c>
      <c r="N45" s="54">
        <f t="shared" si="2"/>
        <v>1144.2</v>
      </c>
      <c r="O45" s="59"/>
      <c r="P45" s="60">
        <v>1144.2</v>
      </c>
    </row>
    <row r="46" spans="1:16" x14ac:dyDescent="0.25">
      <c r="A46" s="49" t="s">
        <v>30</v>
      </c>
      <c r="B46" s="44">
        <v>4190.3</v>
      </c>
      <c r="C46" s="70"/>
      <c r="D46" s="76"/>
      <c r="E46" s="76"/>
      <c r="F46" s="76"/>
      <c r="G46" s="76"/>
      <c r="H46" s="78"/>
      <c r="I46" s="41">
        <f>SUM(B46:H46)</f>
        <v>4190.3</v>
      </c>
      <c r="J46" s="11">
        <v>206.91</v>
      </c>
      <c r="K46" s="11">
        <v>445.58</v>
      </c>
      <c r="L46" s="4">
        <f t="shared" si="13"/>
        <v>437.01000000000022</v>
      </c>
      <c r="M46" s="4">
        <f t="shared" si="1"/>
        <v>1089.5000000000002</v>
      </c>
      <c r="N46" s="52">
        <f t="shared" si="2"/>
        <v>3100.8</v>
      </c>
      <c r="O46" s="59"/>
      <c r="P46" s="60">
        <v>3100.8</v>
      </c>
    </row>
    <row r="47" spans="1:16" x14ac:dyDescent="0.25">
      <c r="A47" s="49" t="s">
        <v>31</v>
      </c>
      <c r="B47" s="44">
        <f>7858.53+1021.61</f>
        <v>8880.14</v>
      </c>
      <c r="C47" s="70"/>
      <c r="D47" s="76"/>
      <c r="E47" s="76"/>
      <c r="F47" s="76"/>
      <c r="G47" s="76"/>
      <c r="H47" s="78">
        <v>9465.5</v>
      </c>
      <c r="I47" s="41">
        <f t="shared" ref="I47:I65" si="14">SUM(B47:H47)</f>
        <v>18345.64</v>
      </c>
      <c r="J47" s="11">
        <v>3927.46</v>
      </c>
      <c r="K47" s="11">
        <v>713.08</v>
      </c>
      <c r="L47" s="4">
        <f t="shared" si="13"/>
        <v>702.80999999999949</v>
      </c>
      <c r="M47" s="4">
        <f t="shared" si="1"/>
        <v>5343.3499999999995</v>
      </c>
      <c r="N47" s="52">
        <f t="shared" si="2"/>
        <v>13002.29</v>
      </c>
      <c r="O47" s="59"/>
      <c r="P47" s="60">
        <v>13002.29</v>
      </c>
    </row>
    <row r="48" spans="1:16" x14ac:dyDescent="0.25">
      <c r="A48" s="49" t="s">
        <v>32</v>
      </c>
      <c r="B48" s="44">
        <f>5288.3+1776.87</f>
        <v>7065.17</v>
      </c>
      <c r="C48" s="70">
        <v>2115.3200000000002</v>
      </c>
      <c r="D48" s="76"/>
      <c r="E48" s="76"/>
      <c r="F48" s="76"/>
      <c r="G48" s="76"/>
      <c r="H48" s="78"/>
      <c r="I48" s="41">
        <f t="shared" si="14"/>
        <v>9180.49</v>
      </c>
      <c r="J48" s="11">
        <v>1354.9</v>
      </c>
      <c r="K48" s="11">
        <f>550.64+162.44</f>
        <v>713.07999999999993</v>
      </c>
      <c r="L48" s="4">
        <f>I48-J48-K48-P48</f>
        <v>834.3100000000004</v>
      </c>
      <c r="M48" s="4">
        <f>SUM(J48:L48)</f>
        <v>2902.2900000000004</v>
      </c>
      <c r="N48" s="52">
        <f t="shared" si="2"/>
        <v>6278.1999999999989</v>
      </c>
      <c r="O48" s="59"/>
      <c r="P48" s="60">
        <v>6278.2</v>
      </c>
    </row>
    <row r="49" spans="1:16" x14ac:dyDescent="0.25">
      <c r="A49" s="49" t="s">
        <v>33</v>
      </c>
      <c r="B49" s="44">
        <f>4927.52+768.69</f>
        <v>5696.2100000000009</v>
      </c>
      <c r="C49" s="70">
        <v>985.5</v>
      </c>
      <c r="D49" s="76"/>
      <c r="E49" s="76"/>
      <c r="F49" s="76"/>
      <c r="G49" s="76"/>
      <c r="H49" s="78"/>
      <c r="I49" s="41">
        <f t="shared" si="14"/>
        <v>6681.7100000000009</v>
      </c>
      <c r="J49" s="11">
        <v>667.74</v>
      </c>
      <c r="K49" s="11">
        <f>435.1+277.98</f>
        <v>713.08</v>
      </c>
      <c r="L49" s="4">
        <f t="shared" si="13"/>
        <v>470.39000000000124</v>
      </c>
      <c r="M49" s="4">
        <f t="shared" si="1"/>
        <v>1851.2100000000014</v>
      </c>
      <c r="N49" s="52">
        <f t="shared" si="2"/>
        <v>4830.5</v>
      </c>
      <c r="O49" s="59"/>
      <c r="P49" s="60">
        <v>4830.5</v>
      </c>
    </row>
    <row r="50" spans="1:16" x14ac:dyDescent="0.25">
      <c r="A50" s="49" t="s">
        <v>34</v>
      </c>
      <c r="B50" s="44">
        <f>5414.85+1462.01</f>
        <v>6876.8600000000006</v>
      </c>
      <c r="C50" s="70">
        <v>130</v>
      </c>
      <c r="D50" s="76"/>
      <c r="E50" s="76"/>
      <c r="F50" s="76"/>
      <c r="G50" s="76"/>
      <c r="H50" s="78"/>
      <c r="I50" s="41">
        <f t="shared" si="14"/>
        <v>7006.8600000000006</v>
      </c>
      <c r="J50" s="11">
        <v>809.29</v>
      </c>
      <c r="K50" s="11">
        <v>713.08</v>
      </c>
      <c r="L50" s="4">
        <f t="shared" si="13"/>
        <v>785.47000000000025</v>
      </c>
      <c r="M50" s="4">
        <f t="shared" si="1"/>
        <v>2307.84</v>
      </c>
      <c r="N50" s="52">
        <f>SUM(I50-M50)+G50</f>
        <v>4699.0200000000004</v>
      </c>
      <c r="O50" s="59"/>
      <c r="P50" s="60">
        <v>4699.0200000000004</v>
      </c>
    </row>
    <row r="51" spans="1:16" x14ac:dyDescent="0.25">
      <c r="A51" s="49" t="s">
        <v>35</v>
      </c>
      <c r="B51" s="44">
        <f>2628.01+315.36</f>
        <v>2943.3700000000003</v>
      </c>
      <c r="C51" s="70">
        <v>525.6</v>
      </c>
      <c r="D51" s="76"/>
      <c r="E51" s="76">
        <f>459.9+2299.51+275.94+1011.78</f>
        <v>4047.13</v>
      </c>
      <c r="F51" s="76"/>
      <c r="G51" s="76"/>
      <c r="H51" s="78"/>
      <c r="I51" s="41">
        <f t="shared" si="14"/>
        <v>7516.1</v>
      </c>
      <c r="J51" s="11">
        <v>99.54</v>
      </c>
      <c r="K51" s="11">
        <f>250.42+462.66</f>
        <v>713.08</v>
      </c>
      <c r="L51" s="4">
        <f t="shared" si="13"/>
        <v>4899.72</v>
      </c>
      <c r="M51" s="4">
        <f t="shared" si="1"/>
        <v>5712.34</v>
      </c>
      <c r="N51" s="52">
        <f>SUM(I51-M51)+G51</f>
        <v>1803.7600000000002</v>
      </c>
      <c r="O51" s="59"/>
      <c r="P51" s="60">
        <v>1803.76</v>
      </c>
    </row>
    <row r="52" spans="1:16" x14ac:dyDescent="0.25">
      <c r="A52" s="49" t="s">
        <v>36</v>
      </c>
      <c r="B52" s="44">
        <v>4183.3999999999996</v>
      </c>
      <c r="C52" s="70"/>
      <c r="D52" s="76"/>
      <c r="E52" s="76"/>
      <c r="F52" s="76"/>
      <c r="G52" s="76"/>
      <c r="H52" s="78"/>
      <c r="I52" s="41">
        <f t="shared" si="14"/>
        <v>4183.3999999999996</v>
      </c>
      <c r="J52" s="11">
        <v>149.13999999999999</v>
      </c>
      <c r="K52" s="11">
        <v>444.61</v>
      </c>
      <c r="L52" s="4">
        <f t="shared" si="13"/>
        <v>996.31999999999971</v>
      </c>
      <c r="M52" s="4">
        <f t="shared" si="1"/>
        <v>1590.0699999999997</v>
      </c>
      <c r="N52" s="52">
        <f t="shared" si="2"/>
        <v>2593.33</v>
      </c>
      <c r="O52" s="59"/>
      <c r="P52" s="60">
        <v>2593.33</v>
      </c>
    </row>
    <row r="53" spans="1:16" x14ac:dyDescent="0.25">
      <c r="A53" s="49" t="s">
        <v>85</v>
      </c>
      <c r="B53" s="44">
        <f>2274.15+159.19</f>
        <v>2433.34</v>
      </c>
      <c r="C53" s="70"/>
      <c r="D53" s="76"/>
      <c r="E53" s="76"/>
      <c r="F53" s="76"/>
      <c r="G53" s="76"/>
      <c r="H53" s="78"/>
      <c r="I53" s="41">
        <f t="shared" si="14"/>
        <v>2433.34</v>
      </c>
      <c r="J53" s="11">
        <v>23.68</v>
      </c>
      <c r="K53" s="11">
        <v>213.63</v>
      </c>
      <c r="L53" s="4">
        <f t="shared" si="13"/>
        <v>28.860000000000127</v>
      </c>
      <c r="M53" s="4">
        <f t="shared" si="1"/>
        <v>266.17000000000013</v>
      </c>
      <c r="N53" s="52">
        <f t="shared" si="2"/>
        <v>2167.17</v>
      </c>
      <c r="O53" s="59"/>
      <c r="P53" s="60">
        <v>2167.17</v>
      </c>
    </row>
    <row r="54" spans="1:16" x14ac:dyDescent="0.25">
      <c r="A54" s="49" t="s">
        <v>38</v>
      </c>
      <c r="B54" s="44">
        <f>12454.51+9465.43</f>
        <v>21919.940000000002</v>
      </c>
      <c r="C54" s="70">
        <v>12454.51</v>
      </c>
      <c r="D54" s="76"/>
      <c r="E54" s="76"/>
      <c r="F54" s="76"/>
      <c r="G54" s="76"/>
      <c r="H54" s="78"/>
      <c r="I54" s="41">
        <f t="shared" si="14"/>
        <v>34374.450000000004</v>
      </c>
      <c r="J54" s="11">
        <v>8387.52</v>
      </c>
      <c r="K54" s="11">
        <v>713.08</v>
      </c>
      <c r="L54" s="4">
        <f t="shared" si="13"/>
        <v>416.66000000000349</v>
      </c>
      <c r="M54" s="4">
        <f t="shared" si="1"/>
        <v>9517.2600000000039</v>
      </c>
      <c r="N54" s="52">
        <f t="shared" si="2"/>
        <v>24857.190000000002</v>
      </c>
      <c r="O54" s="59"/>
      <c r="P54" s="60">
        <v>24857.19</v>
      </c>
    </row>
    <row r="55" spans="1:16" x14ac:dyDescent="0.25">
      <c r="A55" s="49" t="s">
        <v>39</v>
      </c>
      <c r="B55" s="44">
        <f>4927.52+709.56</f>
        <v>5637.08</v>
      </c>
      <c r="C55" s="70">
        <v>985.5</v>
      </c>
      <c r="D55" s="76"/>
      <c r="E55" s="76"/>
      <c r="F55" s="76"/>
      <c r="G55" s="76"/>
      <c r="H55" s="78"/>
      <c r="I55" s="41">
        <f t="shared" si="14"/>
        <v>6622.58</v>
      </c>
      <c r="J55" s="11">
        <v>703.62</v>
      </c>
      <c r="K55" s="11">
        <f>37.36+675.72</f>
        <v>713.08</v>
      </c>
      <c r="L55" s="4">
        <f t="shared" si="13"/>
        <v>249.22000000000025</v>
      </c>
      <c r="M55" s="4">
        <f t="shared" si="1"/>
        <v>1665.9200000000003</v>
      </c>
      <c r="N55" s="52">
        <f t="shared" si="2"/>
        <v>4956.66</v>
      </c>
      <c r="O55" s="59"/>
      <c r="P55" s="60">
        <v>4956.66</v>
      </c>
    </row>
    <row r="56" spans="1:16" x14ac:dyDescent="0.25">
      <c r="A56" s="49" t="s">
        <v>40</v>
      </c>
      <c r="B56" s="44">
        <v>5464.66</v>
      </c>
      <c r="C56" s="70"/>
      <c r="D56" s="76"/>
      <c r="E56" s="76"/>
      <c r="F56" s="76"/>
      <c r="G56" s="76"/>
      <c r="H56" s="78"/>
      <c r="I56" s="41">
        <f t="shared" si="14"/>
        <v>5464.66</v>
      </c>
      <c r="J56" s="11">
        <v>410.36</v>
      </c>
      <c r="K56" s="11">
        <v>623.99</v>
      </c>
      <c r="L56" s="4">
        <f t="shared" si="13"/>
        <v>748.40000000000055</v>
      </c>
      <c r="M56" s="4">
        <f t="shared" si="1"/>
        <v>1782.7500000000005</v>
      </c>
      <c r="N56" s="52">
        <f t="shared" si="2"/>
        <v>3681.9099999999994</v>
      </c>
      <c r="O56" s="59"/>
      <c r="P56" s="60">
        <v>3681.91</v>
      </c>
    </row>
    <row r="57" spans="1:16" x14ac:dyDescent="0.25">
      <c r="A57" s="49" t="s">
        <v>70</v>
      </c>
      <c r="B57" s="44">
        <v>1881.14</v>
      </c>
      <c r="C57" s="70"/>
      <c r="D57" s="76"/>
      <c r="E57" s="76"/>
      <c r="F57" s="76"/>
      <c r="G57" s="76"/>
      <c r="H57" s="78"/>
      <c r="I57" s="41">
        <f t="shared" si="14"/>
        <v>1881.14</v>
      </c>
      <c r="J57" s="11"/>
      <c r="K57" s="11">
        <v>153.62</v>
      </c>
      <c r="L57" s="4">
        <f t="shared" ref="L57" si="15">I57-J57-K57-P57</f>
        <v>24.379999999999882</v>
      </c>
      <c r="M57" s="4">
        <f t="shared" ref="M57" si="16">SUM(J57:L57)</f>
        <v>177.99999999999989</v>
      </c>
      <c r="N57" s="52">
        <f t="shared" ref="N57" si="17">SUM(I57-M57)</f>
        <v>1703.1400000000003</v>
      </c>
      <c r="O57" s="59"/>
      <c r="P57" s="60">
        <v>1703.14</v>
      </c>
    </row>
    <row r="58" spans="1:16" x14ac:dyDescent="0.25">
      <c r="A58" s="49" t="s">
        <v>41</v>
      </c>
      <c r="B58" s="44">
        <f>11980.55+4025.46</f>
        <v>16006.009999999998</v>
      </c>
      <c r="C58" s="70">
        <v>2396.11</v>
      </c>
      <c r="D58" s="76"/>
      <c r="E58" s="76"/>
      <c r="F58" s="76"/>
      <c r="G58" s="76"/>
      <c r="H58" s="78"/>
      <c r="I58" s="41">
        <f t="shared" si="14"/>
        <v>18402.12</v>
      </c>
      <c r="J58" s="11">
        <v>3995.13</v>
      </c>
      <c r="K58" s="11">
        <f>249.58+463.5</f>
        <v>713.08</v>
      </c>
      <c r="L58" s="4">
        <f t="shared" si="13"/>
        <v>125.92999999999847</v>
      </c>
      <c r="M58" s="4">
        <f t="shared" si="1"/>
        <v>4834.1399999999985</v>
      </c>
      <c r="N58" s="52">
        <f>SUM(I58-M58)+G58</f>
        <v>13567.98</v>
      </c>
      <c r="O58" s="59"/>
      <c r="P58" s="60">
        <v>13567.98</v>
      </c>
    </row>
    <row r="59" spans="1:16" x14ac:dyDescent="0.25">
      <c r="A59" s="49" t="s">
        <v>42</v>
      </c>
      <c r="B59" s="44">
        <v>2141.12</v>
      </c>
      <c r="C59" s="70"/>
      <c r="D59" s="76"/>
      <c r="E59" s="76"/>
      <c r="F59" s="76"/>
      <c r="G59" s="76"/>
      <c r="H59" s="78"/>
      <c r="I59" s="41">
        <f t="shared" si="14"/>
        <v>2141.12</v>
      </c>
      <c r="J59" s="11"/>
      <c r="K59" s="11">
        <v>178.56</v>
      </c>
      <c r="L59" s="4">
        <f t="shared" si="13"/>
        <v>35.549999999999955</v>
      </c>
      <c r="M59" s="4">
        <f t="shared" si="1"/>
        <v>214.10999999999996</v>
      </c>
      <c r="N59" s="52">
        <f t="shared" si="2"/>
        <v>1927.01</v>
      </c>
      <c r="O59" s="59"/>
      <c r="P59" s="60">
        <v>1927.01</v>
      </c>
    </row>
    <row r="60" spans="1:16" x14ac:dyDescent="0.25">
      <c r="A60" s="49" t="s">
        <v>43</v>
      </c>
      <c r="B60" s="44">
        <f>3491.92+698.38</f>
        <v>4190.3</v>
      </c>
      <c r="C60" s="70"/>
      <c r="D60" s="76"/>
      <c r="E60" s="76"/>
      <c r="F60" s="76"/>
      <c r="G60" s="76"/>
      <c r="H60" s="78"/>
      <c r="I60" s="41">
        <f t="shared" si="14"/>
        <v>4190.3</v>
      </c>
      <c r="J60" s="11">
        <v>206.91</v>
      </c>
      <c r="K60" s="11">
        <v>445.58</v>
      </c>
      <c r="L60" s="4">
        <f t="shared" si="13"/>
        <v>1017.7500000000005</v>
      </c>
      <c r="M60" s="4">
        <f t="shared" si="1"/>
        <v>1670.2400000000005</v>
      </c>
      <c r="N60" s="52">
        <f t="shared" si="2"/>
        <v>2520.0599999999995</v>
      </c>
      <c r="O60" s="59"/>
      <c r="P60" s="60">
        <v>2520.06</v>
      </c>
    </row>
    <row r="61" spans="1:16" x14ac:dyDescent="0.25">
      <c r="A61" s="49" t="s">
        <v>44</v>
      </c>
      <c r="B61" s="44">
        <f>10377.23+3860.33</f>
        <v>14237.56</v>
      </c>
      <c r="C61" s="70">
        <v>2075.4499999999998</v>
      </c>
      <c r="D61" s="76"/>
      <c r="E61" s="76"/>
      <c r="F61" s="76"/>
      <c r="G61" s="76"/>
      <c r="H61" s="78"/>
      <c r="I61" s="41">
        <f t="shared" si="14"/>
        <v>16313.009999999998</v>
      </c>
      <c r="J61" s="11">
        <v>3316.35</v>
      </c>
      <c r="K61" s="11">
        <v>713.08</v>
      </c>
      <c r="L61" s="4">
        <f t="shared" si="13"/>
        <v>1409.8199999999979</v>
      </c>
      <c r="M61" s="4">
        <f t="shared" si="1"/>
        <v>5439.2499999999982</v>
      </c>
      <c r="N61" s="52">
        <f>SUM(I61-M61)+G61</f>
        <v>10873.76</v>
      </c>
      <c r="O61" s="59"/>
      <c r="P61" s="60">
        <v>10873.76</v>
      </c>
    </row>
    <row r="62" spans="1:16" x14ac:dyDescent="0.25">
      <c r="A62" s="49" t="s">
        <v>45</v>
      </c>
      <c r="B62" s="44">
        <f>1950.55+546.15</f>
        <v>2496.6999999999998</v>
      </c>
      <c r="C62" s="70"/>
      <c r="D62" s="76"/>
      <c r="E62" s="76">
        <f>1950.55+546.15+832.23</f>
        <v>3328.93</v>
      </c>
      <c r="F62" s="76"/>
      <c r="G62" s="76"/>
      <c r="H62" s="78"/>
      <c r="I62" s="41">
        <f t="shared" si="14"/>
        <v>5825.6299999999992</v>
      </c>
      <c r="J62" s="11">
        <f>68.28</f>
        <v>68.28</v>
      </c>
      <c r="K62" s="11">
        <f>349.5+324.99</f>
        <v>674.49</v>
      </c>
      <c r="L62" s="4">
        <f t="shared" si="13"/>
        <v>4797.34</v>
      </c>
      <c r="M62" s="4">
        <f t="shared" si="1"/>
        <v>5540.1100000000006</v>
      </c>
      <c r="N62" s="52">
        <f t="shared" si="2"/>
        <v>285.51999999999862</v>
      </c>
      <c r="O62" s="59"/>
      <c r="P62" s="60">
        <v>285.52</v>
      </c>
    </row>
    <row r="63" spans="1:16" x14ac:dyDescent="0.25">
      <c r="A63" s="49" t="s">
        <v>46</v>
      </c>
      <c r="B63" s="44">
        <v>2008.02</v>
      </c>
      <c r="C63" s="70"/>
      <c r="D63" s="76"/>
      <c r="E63" s="76"/>
      <c r="F63" s="76"/>
      <c r="G63" s="76"/>
      <c r="H63" s="78"/>
      <c r="I63" s="41">
        <f t="shared" si="14"/>
        <v>2008.02</v>
      </c>
      <c r="J63" s="11"/>
      <c r="K63" s="11">
        <v>165.04</v>
      </c>
      <c r="L63" s="4">
        <f t="shared" si="13"/>
        <v>66.970000000000027</v>
      </c>
      <c r="M63" s="4">
        <f t="shared" si="1"/>
        <v>232.01000000000002</v>
      </c>
      <c r="N63" s="52">
        <f t="shared" si="2"/>
        <v>1776.01</v>
      </c>
      <c r="O63" s="59"/>
      <c r="P63" s="60">
        <v>1776.01</v>
      </c>
    </row>
    <row r="64" spans="1:16" x14ac:dyDescent="0.25">
      <c r="A64" s="49" t="s">
        <v>86</v>
      </c>
      <c r="B64" s="44">
        <f>2129.81+21.3</f>
        <v>2151.11</v>
      </c>
      <c r="C64" s="70"/>
      <c r="D64" s="76"/>
      <c r="E64" s="76">
        <f>1863.58+18.64+627.41</f>
        <v>2509.63</v>
      </c>
      <c r="F64" s="76"/>
      <c r="G64" s="76"/>
      <c r="H64" s="78"/>
      <c r="I64" s="41">
        <f t="shared" si="14"/>
        <v>4660.74</v>
      </c>
      <c r="J64" s="11">
        <v>28.71</v>
      </c>
      <c r="K64" s="11">
        <f>288.66+222.78</f>
        <v>511.44000000000005</v>
      </c>
      <c r="L64" s="4">
        <f t="shared" ref="L64" si="18">I64-J64-K64-P64</f>
        <v>2304.19</v>
      </c>
      <c r="M64" s="4">
        <f t="shared" ref="M64" si="19">SUM(J64:L64)</f>
        <v>2844.34</v>
      </c>
      <c r="N64" s="52">
        <f t="shared" ref="N64" si="20">SUM(I64-M64)</f>
        <v>1816.3999999999996</v>
      </c>
      <c r="O64" s="59"/>
      <c r="P64" s="60">
        <v>1816.4</v>
      </c>
    </row>
    <row r="65" spans="1:16" x14ac:dyDescent="0.25">
      <c r="A65" s="49" t="s">
        <v>84</v>
      </c>
      <c r="B65" s="44">
        <f>1755.42+17.55</f>
        <v>1772.97</v>
      </c>
      <c r="C65" s="70"/>
      <c r="D65" s="76"/>
      <c r="E65" s="76"/>
      <c r="F65" s="76"/>
      <c r="G65" s="76"/>
      <c r="H65" s="78"/>
      <c r="I65" s="41">
        <f t="shared" si="14"/>
        <v>1772.97</v>
      </c>
      <c r="J65" s="11"/>
      <c r="K65" s="11">
        <v>143.88</v>
      </c>
      <c r="L65" s="4">
        <f t="shared" ref="L65" si="21">I65-J65-K65-P65</f>
        <v>43.630000000000109</v>
      </c>
      <c r="M65" s="4">
        <f t="shared" ref="M65" si="22">SUM(J65:L65)</f>
        <v>187.5100000000001</v>
      </c>
      <c r="N65" s="52">
        <f t="shared" ref="N65" si="23">SUM(I65-M65)</f>
        <v>1585.46</v>
      </c>
      <c r="O65" s="59"/>
      <c r="P65" s="60">
        <v>1585.46</v>
      </c>
    </row>
    <row r="66" spans="1:16" ht="15.75" thickBot="1" x14ac:dyDescent="0.3">
      <c r="A66" s="50" t="s">
        <v>47</v>
      </c>
      <c r="B66" s="45">
        <f>7748.52+1022.8</f>
        <v>8771.32</v>
      </c>
      <c r="C66" s="73">
        <v>1549.7</v>
      </c>
      <c r="D66" s="79"/>
      <c r="E66" s="79">
        <f>53.44+267.19+35.27+118.63</f>
        <v>474.53</v>
      </c>
      <c r="F66" s="79"/>
      <c r="G66" s="79"/>
      <c r="H66" s="80">
        <v>9465.5</v>
      </c>
      <c r="I66" s="42">
        <f>SUM(B66:H66)</f>
        <v>20261.050000000003</v>
      </c>
      <c r="J66" s="38">
        <f>4334.59+1231.33</f>
        <v>5565.92</v>
      </c>
      <c r="K66" s="38">
        <v>713.08</v>
      </c>
      <c r="L66" s="39">
        <f t="shared" si="13"/>
        <v>147.84000000000378</v>
      </c>
      <c r="M66" s="39">
        <f t="shared" si="1"/>
        <v>6426.8400000000038</v>
      </c>
      <c r="N66" s="53">
        <f t="shared" si="2"/>
        <v>13834.21</v>
      </c>
      <c r="O66" s="59"/>
      <c r="P66" s="60">
        <v>13834.21</v>
      </c>
    </row>
    <row r="67" spans="1:16" ht="15.75" thickBo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</row>
    <row r="68" spans="1:16" x14ac:dyDescent="0.25">
      <c r="A68" s="103" t="s">
        <v>98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5"/>
    </row>
    <row r="69" spans="1:16" x14ac:dyDescent="0.25">
      <c r="A69" s="91" t="s">
        <v>96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/>
    </row>
    <row r="70" spans="1:16" ht="5.25" customHeight="1" x14ac:dyDescent="0.25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6"/>
    </row>
    <row r="71" spans="1:16" x14ac:dyDescent="0.25">
      <c r="A71" s="97" t="s">
        <v>97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9"/>
    </row>
    <row r="72" spans="1:16" x14ac:dyDescent="0.25">
      <c r="A72" s="100" t="s">
        <v>92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2"/>
    </row>
    <row r="73" spans="1:16" x14ac:dyDescent="0.25">
      <c r="A73" s="100" t="s">
        <v>93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2"/>
    </row>
    <row r="74" spans="1:16" x14ac:dyDescent="0.25">
      <c r="A74" s="100" t="s">
        <v>94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2"/>
    </row>
    <row r="75" spans="1:16" ht="15.75" thickBot="1" x14ac:dyDescent="0.3">
      <c r="A75" s="115" t="s">
        <v>95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7"/>
    </row>
    <row r="76" spans="1:16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</row>
    <row r="77" spans="1:16" x14ac:dyDescent="0.25">
      <c r="A77" s="25"/>
      <c r="B77" s="17"/>
      <c r="C77" s="64"/>
      <c r="D77" s="17"/>
      <c r="E77" s="64"/>
      <c r="F77" s="64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4"/>
      <c r="D78" s="17"/>
      <c r="E78" s="64"/>
      <c r="F78" s="64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109" t="s">
        <v>78</v>
      </c>
      <c r="M79" s="110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324099.43000000005</v>
      </c>
      <c r="J80" s="32">
        <f>SUM(J7:J42)</f>
        <v>54480.669999999991</v>
      </c>
      <c r="K80" s="32">
        <f>SUM(K7:K42)</f>
        <v>18945.960000000006</v>
      </c>
      <c r="L80" s="111">
        <f>SUM(N7:N42)</f>
        <v>226420.19</v>
      </c>
      <c r="M80" s="112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185524.93</v>
      </c>
      <c r="J81" s="32">
        <f>SUM(J45:J66)</f>
        <v>29921.46</v>
      </c>
      <c r="K81" s="32">
        <f>SUM(K45:K66)</f>
        <v>11301.77</v>
      </c>
      <c r="L81" s="111">
        <f>SUM(N45:N66)</f>
        <v>123004.57999999999</v>
      </c>
      <c r="M81" s="112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509624.36000000004</v>
      </c>
      <c r="J82" s="34">
        <f>SUM(J80:J81)</f>
        <v>84402.12999999999</v>
      </c>
      <c r="K82" s="34">
        <f>SUM(K80:K81)</f>
        <v>30247.730000000007</v>
      </c>
      <c r="L82" s="113">
        <f>SUM(L80:L81)</f>
        <v>349424.77</v>
      </c>
      <c r="M82" s="114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sheetProtection algorithmName="SHA-512" hashValue="0+lna2Eio47fe4VD2/Lu5w4H1YIkev0tvWu5KIQXd161u9D5UIAUbXvPQqfoGpiahreq2VdK6m5iAoTsb77PqQ==" saltValue="NxJ0afxA9fVfWGD92spiBw==" spinCount="100000" sheet="1" objects="1" scenarios="1"/>
  <mergeCells count="30">
    <mergeCell ref="L79:M79"/>
    <mergeCell ref="L80:M80"/>
    <mergeCell ref="L81:M81"/>
    <mergeCell ref="L82:M82"/>
    <mergeCell ref="A75:N75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30" t="s">
        <v>59</v>
      </c>
      <c r="B1" s="130"/>
      <c r="C1" s="130"/>
      <c r="D1" s="130"/>
      <c r="E1" s="130"/>
      <c r="F1" s="130"/>
      <c r="G1" s="130"/>
      <c r="H1" s="130"/>
      <c r="I1" s="130"/>
    </row>
    <row r="2" spans="1:12" x14ac:dyDescent="0.25">
      <c r="A2" s="130" t="s">
        <v>60</v>
      </c>
      <c r="B2" s="130"/>
      <c r="C2" s="130"/>
      <c r="D2" s="130"/>
      <c r="E2" s="130"/>
      <c r="F2" s="130"/>
      <c r="G2" s="130"/>
      <c r="H2" s="130"/>
      <c r="I2" s="130"/>
    </row>
    <row r="3" spans="1:12" ht="4.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4" t="s">
        <v>58</v>
      </c>
      <c r="B5" s="126" t="s">
        <v>48</v>
      </c>
      <c r="C5" s="126" t="s">
        <v>80</v>
      </c>
      <c r="D5" s="5" t="s">
        <v>50</v>
      </c>
      <c r="E5" s="126" t="s">
        <v>52</v>
      </c>
      <c r="F5" s="126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5"/>
      <c r="B6" s="127"/>
      <c r="C6" s="127"/>
      <c r="D6" s="6" t="s">
        <v>51</v>
      </c>
      <c r="E6" s="127"/>
      <c r="F6" s="127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4" t="s">
        <v>58</v>
      </c>
      <c r="B42" s="126" t="s">
        <v>48</v>
      </c>
      <c r="C42" s="126" t="s">
        <v>80</v>
      </c>
      <c r="D42" s="5" t="s">
        <v>50</v>
      </c>
      <c r="E42" s="128" t="s">
        <v>52</v>
      </c>
      <c r="F42" s="128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5"/>
      <c r="B43" s="127"/>
      <c r="C43" s="127"/>
      <c r="D43" s="6" t="s">
        <v>51</v>
      </c>
      <c r="E43" s="129"/>
      <c r="F43" s="129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0" t="s">
        <v>73</v>
      </c>
      <c r="B65" s="121"/>
      <c r="C65" s="121"/>
      <c r="D65" s="121"/>
      <c r="E65" s="121"/>
      <c r="F65" s="121"/>
      <c r="G65" s="121"/>
      <c r="H65" s="121"/>
      <c r="I65" s="121"/>
    </row>
    <row r="66" spans="1:9" x14ac:dyDescent="0.25">
      <c r="A66" s="120" t="s">
        <v>61</v>
      </c>
      <c r="B66" s="121"/>
      <c r="C66" s="121"/>
      <c r="D66" s="121"/>
      <c r="E66" s="121"/>
      <c r="F66" s="121"/>
      <c r="G66" s="121"/>
      <c r="H66" s="121"/>
      <c r="I66" s="121"/>
    </row>
    <row r="67" spans="1:9" x14ac:dyDescent="0.25">
      <c r="A67" s="122"/>
      <c r="B67" s="122"/>
      <c r="C67" s="122"/>
      <c r="D67" s="122"/>
      <c r="E67" s="122"/>
      <c r="F67" s="122"/>
      <c r="G67" s="122"/>
      <c r="H67" s="122"/>
      <c r="I67" s="122"/>
    </row>
    <row r="68" spans="1:9" x14ac:dyDescent="0.25">
      <c r="A68" s="123" t="s">
        <v>62</v>
      </c>
      <c r="B68" s="123"/>
      <c r="C68" s="123"/>
      <c r="D68" s="123"/>
      <c r="E68" s="123"/>
      <c r="F68" s="123"/>
      <c r="G68" s="123"/>
      <c r="H68" s="123"/>
      <c r="I68" s="123"/>
    </row>
    <row r="69" spans="1:9" x14ac:dyDescent="0.25">
      <c r="A69" s="118" t="s">
        <v>66</v>
      </c>
      <c r="B69" s="118"/>
      <c r="C69" s="118"/>
      <c r="D69" s="118"/>
      <c r="E69" s="118"/>
      <c r="F69" s="118"/>
      <c r="G69" s="118"/>
      <c r="H69" s="118"/>
      <c r="I69" s="118"/>
    </row>
    <row r="70" spans="1:9" x14ac:dyDescent="0.25">
      <c r="A70" s="118" t="s">
        <v>68</v>
      </c>
      <c r="B70" s="118"/>
      <c r="C70" s="118"/>
      <c r="D70" s="118"/>
      <c r="E70" s="118"/>
      <c r="F70" s="118"/>
      <c r="G70" s="118"/>
      <c r="H70" s="118"/>
      <c r="I70" s="118"/>
    </row>
    <row r="71" spans="1:9" x14ac:dyDescent="0.25">
      <c r="A71" s="118" t="s">
        <v>65</v>
      </c>
      <c r="B71" s="118"/>
      <c r="C71" s="118"/>
      <c r="D71" s="118"/>
      <c r="E71" s="118"/>
      <c r="F71" s="118"/>
      <c r="G71" s="118"/>
      <c r="H71" s="118"/>
      <c r="I71" s="118"/>
    </row>
    <row r="72" spans="1:9" x14ac:dyDescent="0.25">
      <c r="A72" s="119"/>
      <c r="B72" s="119"/>
      <c r="C72" s="119"/>
      <c r="D72" s="119"/>
      <c r="E72" s="119"/>
      <c r="F72" s="119"/>
      <c r="G72" s="119"/>
      <c r="H72" s="119"/>
      <c r="I72" s="119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1:I1"/>
    <mergeCell ref="A2:I2"/>
    <mergeCell ref="A3:I3"/>
    <mergeCell ref="A5:A6"/>
    <mergeCell ref="B5:B6"/>
    <mergeCell ref="C5:C6"/>
    <mergeCell ref="E5:E6"/>
    <mergeCell ref="F5:F6"/>
    <mergeCell ref="A42:A43"/>
    <mergeCell ref="B42:B43"/>
    <mergeCell ref="C42:C43"/>
    <mergeCell ref="E42:E43"/>
    <mergeCell ref="F42:F43"/>
    <mergeCell ref="A71:I71"/>
    <mergeCell ref="A72:I72"/>
    <mergeCell ref="A65:I65"/>
    <mergeCell ref="A66:I66"/>
    <mergeCell ref="A67:I67"/>
    <mergeCell ref="A68:I68"/>
    <mergeCell ref="A69:I69"/>
    <mergeCell ref="A70:I70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2020-09-14T13:10:49Z</dcterms:modified>
</cp:coreProperties>
</file>