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heckCompatibility="1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43BE211F-8487-4BFC-A730-66FE6DF2B3D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mes" sheetId="6" r:id="rId1"/>
    <sheet name="13" sheetId="7" r:id="rId2"/>
  </sheets>
  <definedNames>
    <definedName name="_xlnm.Print_Area" localSheetId="1">'13'!$A$1:$I$73</definedName>
    <definedName name="_xlnm.Print_Area" localSheetId="0">mes!$A$1:$N$75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8" i="6" l="1"/>
  <c r="B55" i="6"/>
  <c r="K52" i="6"/>
  <c r="E52" i="6"/>
  <c r="B52" i="6"/>
  <c r="J51" i="6"/>
  <c r="B51" i="6"/>
  <c r="E51" i="6"/>
  <c r="K49" i="6"/>
  <c r="J49" i="6"/>
  <c r="E49" i="6"/>
  <c r="B49" i="6"/>
  <c r="B48" i="6"/>
  <c r="K46" i="6"/>
  <c r="J46" i="6"/>
  <c r="E46" i="6"/>
  <c r="B46" i="6"/>
  <c r="B42" i="6"/>
  <c r="K41" i="6"/>
  <c r="E41" i="6"/>
  <c r="B41" i="6"/>
  <c r="K40" i="6"/>
  <c r="E40" i="6"/>
  <c r="B40" i="6"/>
  <c r="B39" i="6"/>
  <c r="B38" i="6"/>
  <c r="B37" i="6"/>
  <c r="B36" i="6"/>
  <c r="B35" i="6"/>
  <c r="B32" i="6"/>
  <c r="J31" i="6"/>
  <c r="B31" i="6"/>
  <c r="E31" i="6"/>
  <c r="K29" i="6"/>
  <c r="E29" i="6"/>
  <c r="B29" i="6"/>
  <c r="E28" i="6"/>
  <c r="B28" i="6"/>
  <c r="B27" i="6"/>
  <c r="F26" i="6"/>
  <c r="E26" i="6"/>
  <c r="B26" i="6"/>
  <c r="K25" i="6"/>
  <c r="E25" i="6"/>
  <c r="B25" i="6"/>
  <c r="F23" i="6"/>
  <c r="B23" i="6"/>
  <c r="B20" i="6"/>
  <c r="K19" i="6"/>
  <c r="E19" i="6"/>
  <c r="B19" i="6"/>
  <c r="K17" i="6"/>
  <c r="E17" i="6"/>
  <c r="B17" i="6"/>
  <c r="K13" i="6"/>
  <c r="E13" i="6"/>
  <c r="B13" i="6"/>
  <c r="K12" i="6"/>
  <c r="E12" i="6"/>
  <c r="B12" i="6"/>
  <c r="B65" i="6" l="1"/>
  <c r="B61" i="6"/>
  <c r="B60" i="6"/>
  <c r="K58" i="6"/>
  <c r="K55" i="6"/>
  <c r="B54" i="6"/>
  <c r="B53" i="6"/>
  <c r="B50" i="6"/>
  <c r="B47" i="6"/>
  <c r="K35" i="6"/>
  <c r="B33" i="6"/>
  <c r="B30" i="6"/>
  <c r="B24" i="6"/>
  <c r="B22" i="6"/>
  <c r="B21" i="6"/>
  <c r="B18" i="6"/>
  <c r="F16" i="6" l="1"/>
  <c r="B16" i="6"/>
  <c r="B11" i="6"/>
  <c r="B8" i="6"/>
  <c r="B7" i="6"/>
  <c r="B66" i="6" l="1"/>
  <c r="I63" i="6"/>
  <c r="I58" i="6"/>
  <c r="I54" i="6"/>
  <c r="I49" i="6"/>
  <c r="I48" i="6"/>
  <c r="I46" i="6"/>
  <c r="I37" i="6"/>
  <c r="I32" i="6"/>
  <c r="I66" i="6"/>
  <c r="I47" i="6"/>
  <c r="I50" i="6"/>
  <c r="I52" i="6"/>
  <c r="I53" i="6"/>
  <c r="I55" i="6"/>
  <c r="I56" i="6"/>
  <c r="I57" i="6"/>
  <c r="I59" i="6"/>
  <c r="I60" i="6"/>
  <c r="I61" i="6"/>
  <c r="I62" i="6"/>
  <c r="I64" i="6"/>
  <c r="I65" i="6"/>
  <c r="I45" i="6"/>
  <c r="I42" i="6"/>
  <c r="I31" i="6"/>
  <c r="I33" i="6"/>
  <c r="I34" i="6"/>
  <c r="I35" i="6"/>
  <c r="I36" i="6"/>
  <c r="I38" i="6"/>
  <c r="I39" i="6"/>
  <c r="I40" i="6"/>
  <c r="I41" i="6"/>
  <c r="I9" i="6"/>
  <c r="I10" i="6"/>
  <c r="I11" i="6"/>
  <c r="I12" i="6"/>
  <c r="I13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8" i="6"/>
  <c r="I7" i="6"/>
  <c r="K20" i="6"/>
  <c r="B15" i="6"/>
  <c r="I51" i="6" l="1"/>
  <c r="K48" i="6"/>
  <c r="C14" i="6"/>
  <c r="B14" i="6"/>
  <c r="I14" i="6" s="1"/>
  <c r="K7" i="6"/>
  <c r="L64" i="6" l="1"/>
  <c r="M64" i="6" s="1"/>
  <c r="N64" i="6" s="1"/>
  <c r="L65" i="6" l="1"/>
  <c r="M65" i="6" s="1"/>
  <c r="N65" i="6" s="1"/>
  <c r="L10" i="6" l="1"/>
  <c r="M10" i="6" s="1"/>
  <c r="N10" i="6" s="1"/>
  <c r="L19" i="6" l="1"/>
  <c r="M19" i="6" s="1"/>
  <c r="N19" i="6" s="1"/>
  <c r="I26" i="7" l="1"/>
  <c r="F77" i="7"/>
  <c r="E77" i="7"/>
  <c r="D63" i="7"/>
  <c r="D62" i="7"/>
  <c r="D61" i="7"/>
  <c r="D60" i="7"/>
  <c r="D59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4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G29" i="7" s="1"/>
  <c r="H29" i="7" s="1"/>
  <c r="I29" i="7" s="1"/>
  <c r="D28" i="7"/>
  <c r="G28" i="7" s="1"/>
  <c r="H28" i="7" s="1"/>
  <c r="I28" i="7" s="1"/>
  <c r="D27" i="7"/>
  <c r="G27" i="7" s="1"/>
  <c r="H27" i="7" s="1"/>
  <c r="I27" i="7" s="1"/>
  <c r="D26" i="7"/>
  <c r="G26" i="7" s="1"/>
  <c r="H26" i="7" s="1"/>
  <c r="D25" i="7"/>
  <c r="G25" i="7" s="1"/>
  <c r="H25" i="7" s="1"/>
  <c r="I25" i="7" s="1"/>
  <c r="D24" i="7"/>
  <c r="G24" i="7" s="1"/>
  <c r="H24" i="7" s="1"/>
  <c r="I24" i="7" s="1"/>
  <c r="E76" i="7"/>
  <c r="D23" i="7"/>
  <c r="D22" i="7"/>
  <c r="G22" i="7" s="1"/>
  <c r="H22" i="7" s="1"/>
  <c r="D21" i="7"/>
  <c r="G21" i="7" s="1"/>
  <c r="H21" i="7" s="1"/>
  <c r="F76" i="7"/>
  <c r="D20" i="7"/>
  <c r="D19" i="7"/>
  <c r="G19" i="7" s="1"/>
  <c r="H19" i="7" s="1"/>
  <c r="I19" i="7" s="1"/>
  <c r="D18" i="7"/>
  <c r="G18" i="7" s="1"/>
  <c r="H18" i="7" s="1"/>
  <c r="I18" i="7" s="1"/>
  <c r="D17" i="7"/>
  <c r="D16" i="7"/>
  <c r="G16" i="7" s="1"/>
  <c r="H16" i="7" s="1"/>
  <c r="I16" i="7" s="1"/>
  <c r="D15" i="7"/>
  <c r="G15" i="7" s="1"/>
  <c r="H15" i="7" s="1"/>
  <c r="I15" i="7" s="1"/>
  <c r="D14" i="7"/>
  <c r="G14" i="7" s="1"/>
  <c r="H14" i="7" s="1"/>
  <c r="I14" i="7" s="1"/>
  <c r="D13" i="7"/>
  <c r="G13" i="7" s="1"/>
  <c r="H13" i="7" s="1"/>
  <c r="I13" i="7" s="1"/>
  <c r="D12" i="7"/>
  <c r="G12" i="7" s="1"/>
  <c r="H12" i="7" s="1"/>
  <c r="I12" i="7" s="1"/>
  <c r="D11" i="7"/>
  <c r="G11" i="7" s="1"/>
  <c r="H11" i="7" s="1"/>
  <c r="D10" i="7"/>
  <c r="G10" i="7" s="1"/>
  <c r="H10" i="7" s="1"/>
  <c r="I10" i="7" s="1"/>
  <c r="D9" i="7"/>
  <c r="G9" i="7" s="1"/>
  <c r="H9" i="7" s="1"/>
  <c r="I9" i="7" s="1"/>
  <c r="D8" i="7"/>
  <c r="G8" i="7" s="1"/>
  <c r="H8" i="7" s="1"/>
  <c r="I8" i="7" s="1"/>
  <c r="D7" i="7"/>
  <c r="G7" i="7" s="1"/>
  <c r="H7" i="7" s="1"/>
  <c r="I7" i="7" s="1"/>
  <c r="I11" i="7" l="1"/>
  <c r="F78" i="7"/>
  <c r="E78" i="7"/>
  <c r="G20" i="7"/>
  <c r="H20" i="7" s="1"/>
  <c r="I20" i="7" s="1"/>
  <c r="G23" i="7"/>
  <c r="H23" i="7" s="1"/>
  <c r="I23" i="7" s="1"/>
  <c r="G30" i="7"/>
  <c r="H30" i="7" s="1"/>
  <c r="I30" i="7" s="1"/>
  <c r="G17" i="7"/>
  <c r="H17" i="7" s="1"/>
  <c r="I17" i="7" s="1"/>
  <c r="D76" i="7"/>
  <c r="D77" i="7"/>
  <c r="I21" i="7"/>
  <c r="I22" i="7"/>
  <c r="G31" i="7"/>
  <c r="H31" i="7" s="1"/>
  <c r="I31" i="7" s="1"/>
  <c r="G32" i="7"/>
  <c r="H32" i="7" s="1"/>
  <c r="I32" i="7" s="1"/>
  <c r="G33" i="7"/>
  <c r="H33" i="7" s="1"/>
  <c r="I33" i="7" s="1"/>
  <c r="G34" i="7"/>
  <c r="H34" i="7" s="1"/>
  <c r="I34" i="7" s="1"/>
  <c r="G35" i="7"/>
  <c r="H35" i="7" s="1"/>
  <c r="I35" i="7" s="1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4" i="7"/>
  <c r="H44" i="7" s="1"/>
  <c r="I44" i="7" s="1"/>
  <c r="G45" i="7"/>
  <c r="H45" i="7" s="1"/>
  <c r="I45" i="7" s="1"/>
  <c r="G46" i="7"/>
  <c r="H46" i="7" s="1"/>
  <c r="I46" i="7" s="1"/>
  <c r="G47" i="7"/>
  <c r="H47" i="7" s="1"/>
  <c r="I47" i="7" s="1"/>
  <c r="G48" i="7"/>
  <c r="H48" i="7" s="1"/>
  <c r="I48" i="7" s="1"/>
  <c r="G49" i="7"/>
  <c r="H49" i="7" s="1"/>
  <c r="I49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 s="1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I77" i="7" l="1"/>
  <c r="I76" i="7"/>
  <c r="D78" i="7"/>
  <c r="K81" i="6"/>
  <c r="K80" i="6"/>
  <c r="J81" i="6"/>
  <c r="J80" i="6"/>
  <c r="K82" i="6" l="1"/>
  <c r="I78" i="7"/>
  <c r="J82" i="6"/>
  <c r="L33" i="6"/>
  <c r="M33" i="6" s="1"/>
  <c r="N33" i="6" s="1"/>
  <c r="L11" i="6" l="1"/>
  <c r="M11" i="6" s="1"/>
  <c r="N11" i="6" s="1"/>
  <c r="L40" i="6" l="1"/>
  <c r="M40" i="6" s="1"/>
  <c r="N40" i="6" s="1"/>
  <c r="L57" i="6" l="1"/>
  <c r="M57" i="6" s="1"/>
  <c r="N57" i="6" s="1"/>
  <c r="L25" i="6"/>
  <c r="M25" i="6" s="1"/>
  <c r="N25" i="6" s="1"/>
  <c r="L16" i="6" l="1"/>
  <c r="M16" i="6" s="1"/>
  <c r="N16" i="6" s="1"/>
  <c r="L13" i="6" l="1"/>
  <c r="M13" i="6" s="1"/>
  <c r="N13" i="6" s="1"/>
  <c r="L66" i="6"/>
  <c r="M66" i="6" s="1"/>
  <c r="N66" i="6" s="1"/>
  <c r="L63" i="6"/>
  <c r="M63" i="6" s="1"/>
  <c r="N63" i="6" s="1"/>
  <c r="L60" i="6"/>
  <c r="M60" i="6" s="1"/>
  <c r="N60" i="6" s="1"/>
  <c r="L59" i="6"/>
  <c r="M59" i="6" s="1"/>
  <c r="L56" i="6"/>
  <c r="M56" i="6" s="1"/>
  <c r="N56" i="6" s="1"/>
  <c r="L55" i="6"/>
  <c r="M55" i="6" s="1"/>
  <c r="N55" i="6" s="1"/>
  <c r="L54" i="6"/>
  <c r="M54" i="6" s="1"/>
  <c r="L53" i="6"/>
  <c r="M53" i="6" s="1"/>
  <c r="L52" i="6"/>
  <c r="M52" i="6" s="1"/>
  <c r="L49" i="6"/>
  <c r="M49" i="6" s="1"/>
  <c r="L48" i="6"/>
  <c r="M48" i="6" s="1"/>
  <c r="L47" i="6"/>
  <c r="M47" i="6" s="1"/>
  <c r="N47" i="6" s="1"/>
  <c r="L42" i="6"/>
  <c r="M42" i="6" s="1"/>
  <c r="N42" i="6" s="1"/>
  <c r="L38" i="6"/>
  <c r="M38" i="6" s="1"/>
  <c r="N38" i="6" s="1"/>
  <c r="L37" i="6"/>
  <c r="M37" i="6" s="1"/>
  <c r="N37" i="6" s="1"/>
  <c r="L35" i="6"/>
  <c r="M35" i="6" s="1"/>
  <c r="N35" i="6" s="1"/>
  <c r="L32" i="6"/>
  <c r="M32" i="6" s="1"/>
  <c r="N32" i="6" s="1"/>
  <c r="L31" i="6"/>
  <c r="M31" i="6" s="1"/>
  <c r="N31" i="6" s="1"/>
  <c r="L30" i="6"/>
  <c r="M30" i="6" s="1"/>
  <c r="N30" i="6" s="1"/>
  <c r="L29" i="6"/>
  <c r="M29" i="6" s="1"/>
  <c r="N29" i="6" s="1"/>
  <c r="L28" i="6"/>
  <c r="M28" i="6" s="1"/>
  <c r="N28" i="6" s="1"/>
  <c r="L26" i="6"/>
  <c r="M26" i="6" s="1"/>
  <c r="N26" i="6" s="1"/>
  <c r="L24" i="6"/>
  <c r="M24" i="6" s="1"/>
  <c r="N24" i="6" s="1"/>
  <c r="L23" i="6"/>
  <c r="M23" i="6" s="1"/>
  <c r="N23" i="6" s="1"/>
  <c r="L22" i="6"/>
  <c r="M22" i="6" s="1"/>
  <c r="N22" i="6" s="1"/>
  <c r="L20" i="6"/>
  <c r="M20" i="6" s="1"/>
  <c r="N20" i="6" s="1"/>
  <c r="L15" i="6"/>
  <c r="M15" i="6" s="1"/>
  <c r="N15" i="6" s="1"/>
  <c r="L8" i="6"/>
  <c r="M8" i="6" s="1"/>
  <c r="N8" i="6" s="1"/>
  <c r="L7" i="6"/>
  <c r="M7" i="6" s="1"/>
  <c r="N7" i="6" s="1"/>
  <c r="L46" i="6" l="1"/>
  <c r="M46" i="6" s="1"/>
  <c r="N46" i="6" s="1"/>
  <c r="I81" i="6"/>
  <c r="L9" i="6"/>
  <c r="I80" i="6"/>
  <c r="L62" i="6"/>
  <c r="M62" i="6" s="1"/>
  <c r="N62" i="6" s="1"/>
  <c r="L17" i="6"/>
  <c r="M17" i="6" s="1"/>
  <c r="N17" i="6" s="1"/>
  <c r="L58" i="6"/>
  <c r="M58" i="6" s="1"/>
  <c r="N58" i="6" s="1"/>
  <c r="L50" i="6"/>
  <c r="M50" i="6" s="1"/>
  <c r="N50" i="6" s="1"/>
  <c r="L51" i="6"/>
  <c r="M51" i="6" s="1"/>
  <c r="N51" i="6" s="1"/>
  <c r="L61" i="6"/>
  <c r="M61" i="6" s="1"/>
  <c r="N61" i="6" s="1"/>
  <c r="L12" i="6"/>
  <c r="M12" i="6" s="1"/>
  <c r="N12" i="6" s="1"/>
  <c r="L34" i="6"/>
  <c r="M34" i="6" s="1"/>
  <c r="N34" i="6" s="1"/>
  <c r="L27" i="6"/>
  <c r="M27" i="6" s="1"/>
  <c r="N27" i="6" s="1"/>
  <c r="L39" i="6"/>
  <c r="M39" i="6" s="1"/>
  <c r="N39" i="6" s="1"/>
  <c r="L36" i="6"/>
  <c r="M36" i="6" s="1"/>
  <c r="N36" i="6" s="1"/>
  <c r="L45" i="6"/>
  <c r="M45" i="6" s="1"/>
  <c r="N45" i="6" s="1"/>
  <c r="L21" i="6"/>
  <c r="M21" i="6" s="1"/>
  <c r="N21" i="6" s="1"/>
  <c r="L18" i="6"/>
  <c r="M18" i="6" s="1"/>
  <c r="N18" i="6" s="1"/>
  <c r="L14" i="6"/>
  <c r="M14" i="6" s="1"/>
  <c r="N14" i="6" s="1"/>
  <c r="N54" i="6"/>
  <c r="N49" i="6"/>
  <c r="N48" i="6"/>
  <c r="N52" i="6"/>
  <c r="L41" i="6"/>
  <c r="M41" i="6" s="1"/>
  <c r="N41" i="6" s="1"/>
  <c r="N53" i="6"/>
  <c r="N59" i="6"/>
  <c r="I82" i="6" l="1"/>
  <c r="M9" i="6"/>
  <c r="L81" i="6"/>
  <c r="N9" i="6" l="1"/>
  <c r="L80" i="6" s="1"/>
  <c r="L82" i="6" s="1"/>
</calcChain>
</file>

<file path=xl/sharedStrings.xml><?xml version="1.0" encoding="utf-8"?>
<sst xmlns="http://schemas.openxmlformats.org/spreadsheetml/2006/main" count="208" uniqueCount="100">
  <si>
    <t>ADILSON FERNANDO CASTRO</t>
  </si>
  <si>
    <t>ADRIANA IAIZZO MAGALHAES</t>
  </si>
  <si>
    <t>ALBERTO AUGUSTO SPITZ</t>
  </si>
  <si>
    <t>ATILA COLONIA CUNNINGHAM</t>
  </si>
  <si>
    <t>BERNADETE DOS SANTOS GONCALVES</t>
  </si>
  <si>
    <t>CELITA ZAIDOVICZ PALTANIN</t>
  </si>
  <si>
    <t>CRISTINA APARECIDA MEDEIROS DIAS</t>
  </si>
  <si>
    <t>DIRCEU DE FATIMA ZONATTO</t>
  </si>
  <si>
    <t>ELIZANDRA CARVALHO</t>
  </si>
  <si>
    <t>ELIZE SCHNEIDER DUARTE</t>
  </si>
  <si>
    <t>FABRIZIO GUIMARÃES</t>
  </si>
  <si>
    <t>FLAVIO AUGUSTO FORCELLI</t>
  </si>
  <si>
    <t>GERSON LUIZ BORGES DE MACEDO</t>
  </si>
  <si>
    <t>GILBERTO QUADROS</t>
  </si>
  <si>
    <t>GUILHERME CRISTIANO RIBEIRO</t>
  </si>
  <si>
    <t>IRAN LUIZ CORDEIRO</t>
  </si>
  <si>
    <t>JAQUELINE ANDREIA FORNAZARI KOHLER</t>
  </si>
  <si>
    <t>JEFERSON LUIZ LUCASKI</t>
  </si>
  <si>
    <t>JENIFER CORREA CECHETTI</t>
  </si>
  <si>
    <t>JERUZA FERNANDES MOURA BURGES</t>
  </si>
  <si>
    <t>JOAO WARDZINSKI</t>
  </si>
  <si>
    <t>JOSELDA MARA VELHO</t>
  </si>
  <si>
    <t>LAURA POTIRA MOREIRA DE SOUZA</t>
  </si>
  <si>
    <t>LUCIANA CRISTINA CORRER</t>
  </si>
  <si>
    <t>LUIZ CESAR ALMEIDA</t>
  </si>
  <si>
    <t>LUIZ FELIPE WOLFF</t>
  </si>
  <si>
    <t>MANOEL MARCELINO AMARAL</t>
  </si>
  <si>
    <t>MARCO AURELIO ZELASKOS DE CARVALHO</t>
  </si>
  <si>
    <t>MARCOS EUCLIDES ALVES</t>
  </si>
  <si>
    <t>MARIA DE LOURDES BONINI DE ALMEIDA</t>
  </si>
  <si>
    <t>MARLA CRISTINA VASCONCELLOS MORAES</t>
  </si>
  <si>
    <t>MARTIN NEUFELD</t>
  </si>
  <si>
    <t>MAURICIO OSTROWSKI JUNIOR</t>
  </si>
  <si>
    <t>MICHEL DE MENEZES HIROMOTO</t>
  </si>
  <si>
    <t>NADJA NAYRA BAPTISTA ANDREACCI</t>
  </si>
  <si>
    <t>NEILA APARECIDA COSTENARO PAVELSKI</t>
  </si>
  <si>
    <t>NEILOR ARMOND LOPES</t>
  </si>
  <si>
    <t>OSMAR RODRIGUES DE MELLO</t>
  </si>
  <si>
    <t>PEDRO HUGO CATOSSI</t>
  </si>
  <si>
    <t>RAFAEL MARCOS AMARAL</t>
  </si>
  <si>
    <t>ROGERS SILVA GARCEZ DAS NEVES</t>
  </si>
  <si>
    <t>RONALDO VELOSO DE ALCANTARA</t>
  </si>
  <si>
    <t>ROSANA APARECIDA SILVA CARDOSO</t>
  </si>
  <si>
    <t>SANDRA APARECIDA RIBEIRO DOS SANTOS WOLANSKI</t>
  </si>
  <si>
    <t>VALDAIR DE SOUZA</t>
  </si>
  <si>
    <t>VALMIR CORREA DOS SANTOS</t>
  </si>
  <si>
    <t>VERA ALICE ALMEIDA REMPEL</t>
  </si>
  <si>
    <t>WANDERLUCIO DOS SANTOS LEITE</t>
  </si>
  <si>
    <t>Remuneração</t>
  </si>
  <si>
    <t>Auxílios</t>
  </si>
  <si>
    <t>Total</t>
  </si>
  <si>
    <t>Rendimentos</t>
  </si>
  <si>
    <t>IR</t>
  </si>
  <si>
    <t>INSS</t>
  </si>
  <si>
    <t xml:space="preserve">Outros </t>
  </si>
  <si>
    <t>Descontos</t>
  </si>
  <si>
    <t>Total de</t>
  </si>
  <si>
    <t>Líquido</t>
  </si>
  <si>
    <t>Nome</t>
  </si>
  <si>
    <t>CONSELHO REGIONAL DE CONTABILIDADE DO PARANÁ</t>
  </si>
  <si>
    <t>FOLHA DE PAGAMENTO</t>
  </si>
  <si>
    <t>em um total de 22 dias, sendo descontado do funcionário o percentual de 0,50% (meio por cento) sobre o valor total dos vales fornecidos no período.</t>
  </si>
  <si>
    <r>
      <rPr>
        <b/>
        <u/>
        <sz val="9"/>
        <color theme="1"/>
        <rFont val="Calibri"/>
        <family val="2"/>
        <scheme val="minor"/>
      </rPr>
      <t>Descrição dos Campos</t>
    </r>
    <r>
      <rPr>
        <b/>
        <sz val="9"/>
        <color theme="1"/>
        <rFont val="Calibri"/>
        <family val="2"/>
        <scheme val="minor"/>
      </rPr>
      <t>:</t>
    </r>
  </si>
  <si>
    <t xml:space="preserve">Honorário de </t>
  </si>
  <si>
    <t>Sucumbência</t>
  </si>
  <si>
    <r>
      <rPr>
        <b/>
        <u/>
        <sz val="9"/>
        <color theme="1"/>
        <rFont val="Calibri"/>
        <family val="2"/>
        <scheme val="minor"/>
      </rPr>
      <t>Outros descontos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</si>
  <si>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r>
      <rPr>
        <b/>
        <u/>
        <sz val="9"/>
        <color theme="1"/>
        <rFont val="Calibri"/>
        <family val="2"/>
        <scheme val="minor"/>
      </rPr>
      <t>Remuneração</t>
    </r>
    <r>
      <rPr>
        <b/>
        <sz val="9"/>
        <color theme="1"/>
        <rFont val="Calibri"/>
        <family val="2"/>
        <scheme val="minor"/>
      </rPr>
      <t>:</t>
    </r>
    <r>
      <rPr>
        <sz val="9"/>
        <color theme="1"/>
        <rFont val="Calibri"/>
        <family val="2"/>
        <scheme val="minor"/>
      </rPr>
      <t xml:space="preserve"> salário, gratificação, hora extra, adicional noturno, férias + 1/3 de férias e médias sobre férias, diárias e comissões de participação em pregão eletrônico e/ou procedimento licitatório.</t>
    </r>
  </si>
  <si>
    <t>13º Salário</t>
  </si>
  <si>
    <r>
      <rPr>
        <b/>
        <u/>
        <sz val="9"/>
        <color theme="1"/>
        <rFont val="Calibri"/>
        <family val="2"/>
        <scheme val="minor"/>
      </rPr>
      <t>Auxílios</t>
    </r>
    <r>
      <rPr>
        <sz val="9"/>
        <color theme="1"/>
        <rFont val="Calibri"/>
        <family val="2"/>
        <scheme val="minor"/>
      </rPr>
      <t>: auxílio enfermidade, salário maternidade.</t>
    </r>
  </si>
  <si>
    <t>HELENA YURIKO HASEGAWA TORQUATO</t>
  </si>
  <si>
    <t>RONALD AURELIO KOCHOLIK</t>
  </si>
  <si>
    <t>MARCIA PORDEUS TORRES</t>
  </si>
  <si>
    <t>ALISSON BOBATO DALSANTO</t>
  </si>
  <si>
    <t>A concessão do vale alimentação e/ou vale refeição aos funcionários do CRCPR é realizada por meio de cartão magnético. O benefício é disponibilizado mensalmente no valor de R$ 41,00 (quarenta e um reais).</t>
  </si>
  <si>
    <t>KARIN OLIVEIRA SILVA</t>
  </si>
  <si>
    <t>MAIRÊ APARECIDA DAHLEM</t>
  </si>
  <si>
    <t>TOTAL</t>
  </si>
  <si>
    <t>IRRF</t>
  </si>
  <si>
    <t>LIQUIDO</t>
  </si>
  <si>
    <t>EVERSON ARNDT</t>
  </si>
  <si>
    <t>Médias</t>
  </si>
  <si>
    <t>Mês: 13º salário                Ano: 2018</t>
  </si>
  <si>
    <t>ERYKA RENATA FERREIRA DE MELLO SENFF MAIA</t>
  </si>
  <si>
    <t>ALESSANDRO LUIZ STAMATTO FERREIRA</t>
  </si>
  <si>
    <t>VINICIUS DECONTO GUIMARÃES</t>
  </si>
  <si>
    <t xml:space="preserve">OSMAR RODRIGUES DE MELLO   </t>
  </si>
  <si>
    <t>VICTORIA ROSSINI ANDREIU</t>
  </si>
  <si>
    <t>Gratificações</t>
  </si>
  <si>
    <t>Férias + 1/3</t>
  </si>
  <si>
    <t>Abono Pecuniário</t>
  </si>
  <si>
    <t>+ 1/3</t>
  </si>
  <si>
    <t>Adiantamento</t>
  </si>
  <si>
    <r>
      <rPr>
        <b/>
        <u/>
        <sz val="11"/>
        <color theme="1"/>
        <rFont val="Calibri"/>
        <family val="2"/>
        <scheme val="minor"/>
      </rPr>
      <t>Remuneração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salário, hora extra, vantagem incorporada ao salário.</t>
    </r>
  </si>
  <si>
    <r>
      <rPr>
        <b/>
        <u/>
        <sz val="11"/>
        <color theme="1"/>
        <rFont val="Calibri"/>
        <family val="2"/>
        <scheme val="minor"/>
      </rPr>
      <t>Gratificações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gratificações inerentes ao exercício de uma especialidade, pelo exercício de função de confiança, pela qualificação e pelo aperfeiçoamento.</t>
    </r>
  </si>
  <si>
    <r>
      <rPr>
        <b/>
        <u/>
        <sz val="11"/>
        <color theme="1"/>
        <rFont val="Calibri"/>
        <family val="2"/>
        <scheme val="minor"/>
      </rPr>
      <t>Auxílios</t>
    </r>
    <r>
      <rPr>
        <sz val="11"/>
        <color theme="1"/>
        <rFont val="Calibri"/>
        <family val="2"/>
        <scheme val="minor"/>
      </rPr>
      <t>: auxílio pós graduação.</t>
    </r>
  </si>
  <si>
    <r>
      <rPr>
        <b/>
        <u/>
        <sz val="11"/>
        <color theme="1"/>
        <rFont val="Calibri"/>
        <family val="2"/>
        <scheme val="minor"/>
      </rPr>
      <t>Outros descontos</t>
    </r>
    <r>
      <rPr>
        <b/>
        <sz val="11"/>
        <color theme="1"/>
        <rFont val="Calibri"/>
        <family val="2"/>
        <scheme val="minor"/>
      </rPr>
      <t>:</t>
    </r>
    <r>
      <rPr>
        <sz val="11"/>
        <color theme="1"/>
        <rFont val="Calibri"/>
        <family val="2"/>
        <scheme val="minor"/>
      </rPr>
      <t xml:space="preserve"> consignação, plano de saúde, alimentação/refeição, vale transporte entre outros.</t>
    </r>
  </si>
  <si>
    <t>sendo descontado do funcionário o percentual de 0,50% (meio por cento) sobre o valor total dos vales fornecidos no período.</t>
  </si>
  <si>
    <r>
      <rPr>
        <b/>
        <u/>
        <sz val="11"/>
        <color rgb="FFFF0000"/>
        <rFont val="Calibri"/>
        <family val="2"/>
        <scheme val="minor"/>
      </rPr>
      <t>Descrição dos Campos</t>
    </r>
    <r>
      <rPr>
        <b/>
        <sz val="11"/>
        <color rgb="FFFF0000"/>
        <rFont val="Calibri"/>
        <family val="2"/>
        <scheme val="minor"/>
      </rPr>
      <t>:</t>
    </r>
  </si>
  <si>
    <t>A concessão do vale alimentação e/ou vale refeição aos funcionários do CRCPR é realizada por meio de cartão magnético. O benefício é disponibilizado mensalmente no valor de R$ 46,50 (quarenta e um reais) recebidos por 22 dias mensais,</t>
  </si>
  <si>
    <t>Mês: 07                Ano: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</si>
</sst>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_ ;\-#,##0.00\ 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34">
    <xf numFmtId="0" fontId="0" fillId="0" borderId="0" xfId="0"/>
    <xf numFmtId="164" fontId="0" fillId="0" borderId="0" xfId="0" applyNumberFormat="1"/>
    <xf numFmtId="0" fontId="0" fillId="0" borderId="3" xfId="0" applyBorder="1"/>
    <xf numFmtId="164" fontId="0" fillId="0" borderId="0" xfId="0" applyNumberFormat="1" applyFill="1"/>
    <xf numFmtId="164" fontId="0" fillId="0" borderId="3" xfId="0" applyNumberForma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0" fillId="0" borderId="0" xfId="0" applyNumberFormat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3" xfId="0" applyNumberFormat="1" applyBorder="1" applyProtection="1"/>
    <xf numFmtId="164" fontId="0" fillId="0" borderId="0" xfId="0" applyNumberFormat="1" applyFill="1" applyProtection="1">
      <protection locked="0"/>
    </xf>
    <xf numFmtId="164" fontId="0" fillId="0" borderId="3" xfId="0" applyNumberFormat="1" applyFill="1" applyBorder="1" applyProtection="1">
      <protection locked="0"/>
    </xf>
    <xf numFmtId="44" fontId="0" fillId="3" borderId="0" xfId="1" applyFont="1" applyFill="1" applyProtection="1">
      <protection locked="0"/>
    </xf>
    <xf numFmtId="0" fontId="0" fillId="0" borderId="0" xfId="0" applyProtection="1">
      <protection locked="0"/>
    </xf>
    <xf numFmtId="44" fontId="0" fillId="0" borderId="0" xfId="1" applyFont="1" applyFill="1" applyProtection="1">
      <protection locked="0"/>
    </xf>
    <xf numFmtId="164" fontId="1" fillId="4" borderId="0" xfId="0" applyNumberFormat="1" applyFont="1" applyFill="1"/>
    <xf numFmtId="164" fontId="1" fillId="4" borderId="3" xfId="0" applyNumberFormat="1" applyFont="1" applyFill="1" applyBorder="1"/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protection locked="0"/>
    </xf>
    <xf numFmtId="0" fontId="1" fillId="0" borderId="2" xfId="0" applyFont="1" applyBorder="1" applyAlignment="1"/>
    <xf numFmtId="0" fontId="8" fillId="0" borderId="2" xfId="0" applyFont="1" applyBorder="1" applyAlignment="1">
      <alignment vertical="center"/>
    </xf>
    <xf numFmtId="164" fontId="8" fillId="3" borderId="0" xfId="0" applyNumberFormat="1" applyFont="1" applyFill="1" applyProtection="1">
      <protection locked="0"/>
    </xf>
    <xf numFmtId="0" fontId="0" fillId="3" borderId="0" xfId="0" applyFill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11" fillId="0" borderId="2" xfId="0" applyFont="1" applyBorder="1" applyAlignment="1"/>
    <xf numFmtId="0" fontId="8" fillId="3" borderId="4" xfId="0" applyFont="1" applyFill="1" applyBorder="1" applyAlignment="1" applyProtection="1">
      <alignment horizontal="center"/>
      <protection locked="0"/>
    </xf>
    <xf numFmtId="0" fontId="8" fillId="3" borderId="5" xfId="0" applyFont="1" applyFill="1" applyBorder="1" applyAlignment="1" applyProtection="1">
      <alignment horizontal="center"/>
      <protection locked="0"/>
    </xf>
    <xf numFmtId="164" fontId="0" fillId="0" borderId="6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8" fillId="3" borderId="8" xfId="0" applyNumberFormat="1" applyFont="1" applyFill="1" applyBorder="1" applyProtection="1">
      <protection locked="0"/>
    </xf>
    <xf numFmtId="164" fontId="8" fillId="3" borderId="9" xfId="0" applyNumberFormat="1" applyFont="1" applyFill="1" applyBorder="1" applyProtection="1">
      <protection locked="0"/>
    </xf>
    <xf numFmtId="0" fontId="10" fillId="2" borderId="13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0" fillId="0" borderId="20" xfId="0" applyNumberFormat="1" applyFill="1" applyBorder="1" applyProtection="1">
      <protection locked="0"/>
    </xf>
    <xf numFmtId="164" fontId="0" fillId="0" borderId="20" xfId="0" applyNumberFormat="1" applyFill="1" applyBorder="1"/>
    <xf numFmtId="164" fontId="1" fillId="4" borderId="21" xfId="0" applyNumberFormat="1" applyFont="1" applyFill="1" applyBorder="1"/>
    <xf numFmtId="164" fontId="1" fillId="4" borderId="7" xfId="0" applyNumberFormat="1" applyFont="1" applyFill="1" applyBorder="1"/>
    <xf numFmtId="164" fontId="1" fillId="4" borderId="9" xfId="0" applyNumberFormat="1" applyFont="1" applyFill="1" applyBorder="1"/>
    <xf numFmtId="164" fontId="1" fillId="4" borderId="21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>
      <protection locked="0"/>
    </xf>
    <xf numFmtId="164" fontId="1" fillId="4" borderId="7" xfId="0" applyNumberFormat="1" applyFont="1" applyFill="1" applyBorder="1" applyProtection="1"/>
    <xf numFmtId="164" fontId="1" fillId="4" borderId="9" xfId="0" applyNumberFormat="1" applyFont="1" applyFill="1" applyBorder="1" applyProtection="1">
      <protection locked="0"/>
    </xf>
    <xf numFmtId="164" fontId="1" fillId="4" borderId="5" xfId="0" applyNumberFormat="1" applyFont="1" applyFill="1" applyBorder="1"/>
    <xf numFmtId="164" fontId="1" fillId="4" borderId="5" xfId="0" applyNumberFormat="1" applyFont="1" applyFill="1" applyBorder="1" applyProtection="1">
      <protection locked="0"/>
    </xf>
    <xf numFmtId="0" fontId="0" fillId="0" borderId="16" xfId="0" applyBorder="1"/>
    <xf numFmtId="0" fontId="0" fillId="0" borderId="22" xfId="0" applyBorder="1"/>
    <xf numFmtId="0" fontId="0" fillId="0" borderId="23" xfId="0" applyBorder="1"/>
    <xf numFmtId="164" fontId="1" fillId="2" borderId="24" xfId="0" applyNumberFormat="1" applyFont="1" applyFill="1" applyBorder="1"/>
    <xf numFmtId="164" fontId="1" fillId="2" borderId="25" xfId="0" applyNumberFormat="1" applyFont="1" applyFill="1" applyBorder="1"/>
    <xf numFmtId="164" fontId="1" fillId="2" borderId="26" xfId="0" applyNumberFormat="1" applyFont="1" applyFill="1" applyBorder="1"/>
    <xf numFmtId="164" fontId="1" fillId="2" borderId="27" xfId="0" applyNumberFormat="1" applyFont="1" applyFill="1" applyBorder="1"/>
    <xf numFmtId="0" fontId="1" fillId="3" borderId="21" xfId="0" applyFont="1" applyFill="1" applyBorder="1" applyAlignment="1">
      <alignment horizontal="center"/>
    </xf>
    <xf numFmtId="0" fontId="1" fillId="3" borderId="28" xfId="0" applyFont="1" applyFill="1" applyBorder="1" applyAlignment="1">
      <alignment horizontal="center"/>
    </xf>
    <xf numFmtId="0" fontId="1" fillId="3" borderId="24" xfId="0" applyFont="1" applyFill="1" applyBorder="1" applyAlignment="1">
      <alignment horizontal="center"/>
    </xf>
    <xf numFmtId="0" fontId="1" fillId="3" borderId="29" xfId="0" applyFont="1" applyFill="1" applyBorder="1" applyAlignment="1">
      <alignment horizontal="center"/>
    </xf>
    <xf numFmtId="0" fontId="1" fillId="0" borderId="0" xfId="0" applyFont="1"/>
    <xf numFmtId="44" fontId="1" fillId="3" borderId="0" xfId="1" applyFont="1" applyFill="1" applyProtection="1">
      <protection locked="0"/>
    </xf>
    <xf numFmtId="0" fontId="7" fillId="0" borderId="0" xfId="0" applyFont="1" applyAlignment="1" applyProtection="1">
      <protection locked="0"/>
    </xf>
    <xf numFmtId="0" fontId="1" fillId="0" borderId="0" xfId="0" applyFont="1" applyAlignment="1"/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left"/>
      <protection locked="0"/>
    </xf>
    <xf numFmtId="0" fontId="1" fillId="3" borderId="1" xfId="0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164" fontId="1" fillId="0" borderId="0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>
      <protection locked="0"/>
    </xf>
    <xf numFmtId="164" fontId="1" fillId="0" borderId="3" xfId="0" applyNumberFormat="1" applyFont="1" applyFill="1" applyBorder="1" applyProtection="1"/>
    <xf numFmtId="164" fontId="1" fillId="0" borderId="31" xfId="0" applyNumberFormat="1" applyFont="1" applyFill="1" applyBorder="1" applyProtection="1">
      <protection locked="0"/>
    </xf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0" borderId="0" xfId="0" applyNumberFormat="1" applyFont="1" applyProtection="1"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164" fontId="1" fillId="0" borderId="3" xfId="0" applyNumberFormat="1" applyFont="1" applyBorder="1" applyProtection="1">
      <protection locked="0"/>
    </xf>
    <xf numFmtId="164" fontId="1" fillId="0" borderId="3" xfId="0" applyNumberFormat="1" applyFont="1" applyBorder="1" applyAlignment="1" applyProtection="1">
      <alignment horizontal="center"/>
      <protection locked="0"/>
    </xf>
    <xf numFmtId="164" fontId="1" fillId="0" borderId="3" xfId="0" applyNumberFormat="1" applyFont="1" applyBorder="1" applyAlignment="1" applyProtection="1">
      <alignment horizontal="right"/>
      <protection locked="0"/>
    </xf>
    <xf numFmtId="164" fontId="1" fillId="0" borderId="20" xfId="0" applyNumberFormat="1" applyFont="1" applyBorder="1" applyProtection="1">
      <protection locked="0"/>
    </xf>
    <xf numFmtId="164" fontId="1" fillId="0" borderId="20" xfId="0" applyNumberFormat="1" applyFont="1" applyBorder="1" applyAlignment="1" applyProtection="1">
      <alignment horizontal="right"/>
      <protection locked="0"/>
    </xf>
    <xf numFmtId="0" fontId="8" fillId="3" borderId="11" xfId="0" applyFont="1" applyFill="1" applyBorder="1" applyAlignment="1" applyProtection="1">
      <alignment horizontal="center"/>
      <protection locked="0"/>
    </xf>
    <xf numFmtId="0" fontId="8" fillId="3" borderId="15" xfId="0" applyFont="1" applyFill="1" applyBorder="1" applyAlignment="1" applyProtection="1">
      <alignment horizontal="center"/>
      <protection locked="0"/>
    </xf>
    <xf numFmtId="164" fontId="0" fillId="0" borderId="10" xfId="0" applyNumberFormat="1" applyBorder="1" applyAlignment="1" applyProtection="1">
      <alignment horizontal="center"/>
      <protection locked="0"/>
    </xf>
    <xf numFmtId="164" fontId="0" fillId="0" borderId="30" xfId="0" applyNumberFormat="1" applyBorder="1" applyAlignment="1" applyProtection="1">
      <alignment horizontal="center"/>
      <protection locked="0"/>
    </xf>
    <xf numFmtId="164" fontId="8" fillId="3" borderId="12" xfId="0" applyNumberFormat="1" applyFont="1" applyFill="1" applyBorder="1" applyAlignment="1" applyProtection="1">
      <alignment horizontal="center"/>
      <protection locked="0"/>
    </xf>
    <xf numFmtId="164" fontId="8" fillId="3" borderId="19" xfId="0" applyNumberFormat="1" applyFont="1" applyFill="1" applyBorder="1" applyAlignment="1" applyProtection="1">
      <alignment horizontal="center"/>
      <protection locked="0"/>
    </xf>
    <xf numFmtId="0" fontId="0" fillId="4" borderId="18" xfId="0" applyFont="1" applyFill="1" applyBorder="1" applyAlignment="1" applyProtection="1">
      <alignment horizontal="left"/>
      <protection locked="0"/>
    </xf>
    <xf numFmtId="0" fontId="0" fillId="4" borderId="2" xfId="0" applyFont="1" applyFill="1" applyBorder="1" applyAlignment="1" applyProtection="1">
      <alignment horizontal="left"/>
      <protection locked="0"/>
    </xf>
    <xf numFmtId="0" fontId="0" fillId="4" borderId="19" xfId="0" applyFont="1" applyFill="1" applyBorder="1" applyAlignment="1" applyProtection="1">
      <alignment horizontal="left"/>
      <protection locked="0"/>
    </xf>
    <xf numFmtId="0" fontId="5" fillId="4" borderId="14" xfId="0" applyFont="1" applyFill="1" applyBorder="1" applyAlignment="1" applyProtection="1">
      <alignment horizontal="left"/>
      <protection locked="0"/>
    </xf>
    <xf numFmtId="0" fontId="5" fillId="4" borderId="1" xfId="0" applyFont="1" applyFill="1" applyBorder="1" applyAlignment="1" applyProtection="1">
      <alignment horizontal="left"/>
      <protection locked="0"/>
    </xf>
    <xf numFmtId="0" fontId="5" fillId="4" borderId="15" xfId="0" applyFont="1" applyFill="1" applyBorder="1" applyAlignment="1" applyProtection="1">
      <alignment horizontal="left"/>
      <protection locked="0"/>
    </xf>
    <xf numFmtId="0" fontId="1" fillId="3" borderId="14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8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5" fillId="4" borderId="16" xfId="0" applyFont="1" applyFill="1" applyBorder="1" applyAlignment="1" applyProtection="1">
      <alignment horizontal="left"/>
      <protection locked="0"/>
    </xf>
    <xf numFmtId="0" fontId="5" fillId="4" borderId="0" xfId="0" applyFont="1" applyFill="1" applyBorder="1" applyAlignment="1" applyProtection="1">
      <alignment horizontal="left"/>
      <protection locked="0"/>
    </xf>
    <xf numFmtId="0" fontId="5" fillId="4" borderId="17" xfId="0" applyFont="1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4" borderId="0" xfId="0" applyFill="1" applyBorder="1" applyAlignment="1" applyProtection="1">
      <alignment horizontal="left"/>
      <protection locked="0"/>
    </xf>
    <xf numFmtId="0" fontId="0" fillId="4" borderId="17" xfId="0" applyFill="1" applyBorder="1" applyAlignment="1" applyProtection="1">
      <alignment horizontal="left"/>
      <protection locked="0"/>
    </xf>
    <xf numFmtId="0" fontId="14" fillId="4" borderId="16" xfId="0" applyFont="1" applyFill="1" applyBorder="1" applyAlignment="1" applyProtection="1">
      <alignment horizontal="left"/>
      <protection locked="0"/>
    </xf>
    <xf numFmtId="0" fontId="14" fillId="4" borderId="0" xfId="0" applyFont="1" applyFill="1" applyBorder="1" applyAlignment="1" applyProtection="1">
      <alignment horizontal="left"/>
      <protection locked="0"/>
    </xf>
    <xf numFmtId="0" fontId="14" fillId="4" borderId="17" xfId="0" applyFont="1" applyFill="1" applyBorder="1" applyAlignment="1" applyProtection="1">
      <alignment horizontal="left"/>
      <protection locked="0"/>
    </xf>
    <xf numFmtId="0" fontId="0" fillId="4" borderId="16" xfId="0" applyFont="1" applyFill="1" applyBorder="1" applyAlignment="1" applyProtection="1">
      <alignment horizontal="left"/>
      <protection locked="0"/>
    </xf>
    <xf numFmtId="0" fontId="0" fillId="4" borderId="0" xfId="0" applyFont="1" applyFill="1" applyBorder="1" applyAlignment="1" applyProtection="1">
      <alignment horizontal="left"/>
      <protection locked="0"/>
    </xf>
    <xf numFmtId="0" fontId="0" fillId="4" borderId="17" xfId="0" applyFont="1" applyFill="1" applyBorder="1" applyAlignment="1" applyProtection="1">
      <alignment horizontal="left"/>
      <protection locked="0"/>
    </xf>
    <xf numFmtId="0" fontId="1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4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P67" sqref="P67"/>
    </sheetView>
  </sheetViews>
  <sheetFormatPr defaultRowHeight="15" x14ac:dyDescent="0.25"/>
  <cols>
    <col min="1" max="1" width="48.5703125" customWidth="1"/>
    <col min="2" max="3" width="14.7109375" customWidth="1"/>
    <col min="4" max="5" width="13.5703125" customWidth="1"/>
    <col min="6" max="6" width="18.85546875" customWidth="1"/>
    <col min="7" max="7" width="13.5703125" customWidth="1"/>
    <col min="8" max="8" width="15.7109375" customWidth="1"/>
    <col min="9" max="9" width="14.140625" customWidth="1"/>
    <col min="10" max="10" width="11.5703125" customWidth="1"/>
    <col min="11" max="11" width="10.7109375" customWidth="1"/>
    <col min="12" max="13" width="10.42578125" customWidth="1"/>
    <col min="14" max="14" width="16.42578125" customWidth="1"/>
    <col min="15" max="15" width="1.42578125" customWidth="1"/>
    <col min="16" max="16" width="14.28515625" bestFit="1" customWidth="1"/>
  </cols>
  <sheetData>
    <row r="1" spans="1:17" ht="16.5" x14ac:dyDescent="0.25">
      <c r="A1" s="118" t="s">
        <v>59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</row>
    <row r="2" spans="1:17" ht="16.5" x14ac:dyDescent="0.25">
      <c r="A2" s="118" t="s">
        <v>60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7" ht="4.5" customHeight="1" thickBot="1" x14ac:dyDescent="0.3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</row>
    <row r="4" spans="1:17" ht="19.5" thickBot="1" x14ac:dyDescent="0.35">
      <c r="A4" s="35" t="s">
        <v>99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</row>
    <row r="5" spans="1:17" x14ac:dyDescent="0.25">
      <c r="A5" s="95" t="s">
        <v>58</v>
      </c>
      <c r="B5" s="97" t="s">
        <v>48</v>
      </c>
      <c r="C5" s="104" t="s">
        <v>87</v>
      </c>
      <c r="D5" s="101" t="s">
        <v>49</v>
      </c>
      <c r="E5" s="101" t="s">
        <v>88</v>
      </c>
      <c r="F5" s="64" t="s">
        <v>89</v>
      </c>
      <c r="G5" s="68" t="s">
        <v>91</v>
      </c>
      <c r="H5" s="36" t="s">
        <v>63</v>
      </c>
      <c r="I5" s="56" t="s">
        <v>50</v>
      </c>
      <c r="J5" s="101" t="s">
        <v>52</v>
      </c>
      <c r="K5" s="101" t="s">
        <v>53</v>
      </c>
      <c r="L5" s="36" t="s">
        <v>54</v>
      </c>
      <c r="M5" s="36" t="s">
        <v>56</v>
      </c>
      <c r="N5" s="58" t="s">
        <v>50</v>
      </c>
    </row>
    <row r="6" spans="1:17" ht="15.75" thickBot="1" x14ac:dyDescent="0.3">
      <c r="A6" s="96"/>
      <c r="B6" s="98"/>
      <c r="C6" s="105"/>
      <c r="D6" s="102"/>
      <c r="E6" s="102"/>
      <c r="F6" s="67" t="s">
        <v>90</v>
      </c>
      <c r="G6" s="69" t="s">
        <v>67</v>
      </c>
      <c r="H6" s="37" t="s">
        <v>64</v>
      </c>
      <c r="I6" s="57" t="s">
        <v>51</v>
      </c>
      <c r="J6" s="102"/>
      <c r="K6" s="102"/>
      <c r="L6" s="37" t="s">
        <v>55</v>
      </c>
      <c r="M6" s="37" t="s">
        <v>55</v>
      </c>
      <c r="N6" s="59" t="s">
        <v>57</v>
      </c>
    </row>
    <row r="7" spans="1:17" x14ac:dyDescent="0.25">
      <c r="A7" s="49" t="s">
        <v>0</v>
      </c>
      <c r="B7" s="43">
        <f>10382.27+5087.31</f>
        <v>15469.580000000002</v>
      </c>
      <c r="C7" s="70">
        <v>4152.91</v>
      </c>
      <c r="D7" s="76"/>
      <c r="E7" s="76"/>
      <c r="F7" s="76"/>
      <c r="G7" s="76"/>
      <c r="H7" s="77"/>
      <c r="I7" s="40">
        <f>SUM(B7:H7)</f>
        <v>19622.490000000002</v>
      </c>
      <c r="J7" s="10">
        <v>4278.59</v>
      </c>
      <c r="K7" s="10">
        <f>285.23+427.85</f>
        <v>713.08</v>
      </c>
      <c r="L7" s="4">
        <f t="shared" ref="L7:L13" si="0">I7-J7-K7-P7</f>
        <v>774.8600000000024</v>
      </c>
      <c r="M7" s="3">
        <f>SUM(J7:L7)</f>
        <v>5766.5300000000025</v>
      </c>
      <c r="N7" s="52">
        <f>SUM(I7-M7)</f>
        <v>13855.96</v>
      </c>
      <c r="O7" s="60"/>
      <c r="P7" s="61">
        <v>13855.96</v>
      </c>
    </row>
    <row r="8" spans="1:17" x14ac:dyDescent="0.25">
      <c r="A8" s="50" t="s">
        <v>1</v>
      </c>
      <c r="B8" s="44">
        <f>5055.97+252.8</f>
        <v>5308.77</v>
      </c>
      <c r="C8" s="71"/>
      <c r="D8" s="78"/>
      <c r="E8" s="78"/>
      <c r="F8" s="78"/>
      <c r="G8" s="78"/>
      <c r="H8" s="79"/>
      <c r="I8" s="41">
        <f>SUM(B8:H8)</f>
        <v>5308.77</v>
      </c>
      <c r="J8" s="11">
        <v>424.96</v>
      </c>
      <c r="K8" s="11">
        <v>602.16</v>
      </c>
      <c r="L8" s="4">
        <f t="shared" si="0"/>
        <v>91.6200000000008</v>
      </c>
      <c r="M8" s="4">
        <f t="shared" ref="M8:M66" si="1">SUM(J8:L8)</f>
        <v>1118.7400000000007</v>
      </c>
      <c r="N8" s="53">
        <f t="shared" ref="N8:N66" si="2">SUM(I8-M8)</f>
        <v>4190.03</v>
      </c>
      <c r="O8" s="60"/>
      <c r="P8" s="61">
        <v>4190.03</v>
      </c>
    </row>
    <row r="9" spans="1:17" x14ac:dyDescent="0.25">
      <c r="A9" s="50" t="s">
        <v>2</v>
      </c>
      <c r="B9" s="44">
        <v>2458.8200000000002</v>
      </c>
      <c r="C9" s="71"/>
      <c r="D9" s="78"/>
      <c r="E9" s="78"/>
      <c r="F9" s="78"/>
      <c r="G9" s="78"/>
      <c r="H9" s="79"/>
      <c r="I9" s="41">
        <f t="shared" ref="I9:I41" si="3">SUM(B9:H9)</f>
        <v>2458.8200000000002</v>
      </c>
      <c r="J9" s="11"/>
      <c r="K9" s="11">
        <v>216.68</v>
      </c>
      <c r="L9" s="4">
        <f t="shared" si="0"/>
        <v>1111.7800000000004</v>
      </c>
      <c r="M9" s="4">
        <f t="shared" si="1"/>
        <v>1328.4600000000005</v>
      </c>
      <c r="N9" s="53">
        <f t="shared" si="2"/>
        <v>1130.3599999999997</v>
      </c>
      <c r="O9" s="60"/>
      <c r="P9" s="61">
        <v>1130.3599999999999</v>
      </c>
    </row>
    <row r="10" spans="1:17" x14ac:dyDescent="0.25">
      <c r="A10" s="50" t="s">
        <v>83</v>
      </c>
      <c r="B10" s="44">
        <v>4271.97</v>
      </c>
      <c r="C10" s="71"/>
      <c r="D10" s="78"/>
      <c r="E10" s="78"/>
      <c r="F10" s="78"/>
      <c r="G10" s="78"/>
      <c r="H10" s="79"/>
      <c r="I10" s="41">
        <f t="shared" si="3"/>
        <v>4271.97</v>
      </c>
      <c r="J10" s="11">
        <v>222.24</v>
      </c>
      <c r="K10" s="11">
        <v>457.01</v>
      </c>
      <c r="L10" s="4">
        <f t="shared" ref="L10" si="4">I10-J10-K10-P10</f>
        <v>83.360000000000127</v>
      </c>
      <c r="M10" s="4">
        <f t="shared" ref="M10" si="5">SUM(J10:L10)</f>
        <v>762.61000000000013</v>
      </c>
      <c r="N10" s="53">
        <f t="shared" ref="N10" si="6">SUM(I10-M10)</f>
        <v>3509.36</v>
      </c>
      <c r="O10" s="60"/>
      <c r="P10" s="61">
        <v>3509.36</v>
      </c>
    </row>
    <row r="11" spans="1:17" x14ac:dyDescent="0.25">
      <c r="A11" s="50" t="s">
        <v>72</v>
      </c>
      <c r="B11" s="44">
        <f>1826.35+56.53</f>
        <v>1882.8799999999999</v>
      </c>
      <c r="C11" s="71">
        <v>1000</v>
      </c>
      <c r="D11" s="78"/>
      <c r="E11" s="78"/>
      <c r="F11" s="78"/>
      <c r="G11" s="78"/>
      <c r="H11" s="79"/>
      <c r="I11" s="41">
        <f t="shared" si="3"/>
        <v>2882.88</v>
      </c>
      <c r="J11" s="11">
        <v>53.35</v>
      </c>
      <c r="K11" s="11">
        <v>267.57</v>
      </c>
      <c r="L11" s="4">
        <f t="shared" si="0"/>
        <v>112.40000000000009</v>
      </c>
      <c r="M11" s="4">
        <f t="shared" si="1"/>
        <v>433.32000000000011</v>
      </c>
      <c r="N11" s="53">
        <f t="shared" si="2"/>
        <v>2449.56</v>
      </c>
      <c r="O11" s="60"/>
      <c r="P11" s="61">
        <v>2449.56</v>
      </c>
    </row>
    <row r="12" spans="1:17" x14ac:dyDescent="0.25">
      <c r="A12" s="50" t="s">
        <v>3</v>
      </c>
      <c r="B12" s="44">
        <f>560.01+61.6</f>
        <v>621.61</v>
      </c>
      <c r="C12" s="71"/>
      <c r="D12" s="78">
        <v>254.6</v>
      </c>
      <c r="E12" s="78">
        <f>1840.05+202.41+680.82</f>
        <v>2723.28</v>
      </c>
      <c r="F12" s="78"/>
      <c r="G12" s="78"/>
      <c r="H12" s="79"/>
      <c r="I12" s="41">
        <f t="shared" si="3"/>
        <v>3599.4900000000002</v>
      </c>
      <c r="J12" s="11"/>
      <c r="K12" s="11">
        <f>54.11+273.11</f>
        <v>327.22000000000003</v>
      </c>
      <c r="L12" s="4">
        <f t="shared" si="0"/>
        <v>3272.2700000000004</v>
      </c>
      <c r="M12" s="4">
        <f t="shared" si="1"/>
        <v>3599.4900000000007</v>
      </c>
      <c r="N12" s="53">
        <f>SUM(I12-M12)+G12</f>
        <v>-4.5474735088646412E-13</v>
      </c>
      <c r="O12" s="60"/>
      <c r="P12" s="61">
        <v>0</v>
      </c>
      <c r="Q12" s="1"/>
    </row>
    <row r="13" spans="1:17" x14ac:dyDescent="0.25">
      <c r="A13" s="50" t="s">
        <v>4</v>
      </c>
      <c r="B13" s="44">
        <f>680.76+163.38</f>
        <v>844.14</v>
      </c>
      <c r="C13" s="71"/>
      <c r="D13" s="78">
        <v>236.8</v>
      </c>
      <c r="E13" s="78">
        <f>2236.8+514.46+917.09</f>
        <v>3668.3500000000004</v>
      </c>
      <c r="F13" s="78"/>
      <c r="G13" s="78"/>
      <c r="H13" s="79"/>
      <c r="I13" s="41">
        <f t="shared" si="3"/>
        <v>4749.2900000000009</v>
      </c>
      <c r="J13" s="11"/>
      <c r="K13" s="11">
        <f>85.26+405.42</f>
        <v>490.68</v>
      </c>
      <c r="L13" s="4">
        <f t="shared" si="0"/>
        <v>4258.6100000000006</v>
      </c>
      <c r="M13" s="4">
        <f t="shared" si="1"/>
        <v>4749.2900000000009</v>
      </c>
      <c r="N13" s="53">
        <f t="shared" si="2"/>
        <v>0</v>
      </c>
      <c r="O13" s="60"/>
      <c r="P13" s="61">
        <v>0</v>
      </c>
    </row>
    <row r="14" spans="1:17" x14ac:dyDescent="0.25">
      <c r="A14" s="50" t="s">
        <v>5</v>
      </c>
      <c r="B14" s="44">
        <f>11980.55+5930.37</f>
        <v>17910.919999999998</v>
      </c>
      <c r="C14" s="71">
        <f>4792.22+1198.06</f>
        <v>5990.2800000000007</v>
      </c>
      <c r="D14" s="78"/>
      <c r="E14" s="78"/>
      <c r="F14" s="78"/>
      <c r="G14" s="78"/>
      <c r="H14" s="79"/>
      <c r="I14" s="41">
        <f t="shared" si="3"/>
        <v>23901.199999999997</v>
      </c>
      <c r="J14" s="11">
        <v>5507.37</v>
      </c>
      <c r="K14" s="11">
        <v>713.08</v>
      </c>
      <c r="L14" s="4">
        <f>I14-J14-K14-P14</f>
        <v>104.48999999999796</v>
      </c>
      <c r="M14" s="4">
        <f t="shared" si="1"/>
        <v>6324.9399999999978</v>
      </c>
      <c r="N14" s="53">
        <f t="shared" si="2"/>
        <v>17576.259999999998</v>
      </c>
      <c r="O14" s="60"/>
      <c r="P14" s="61">
        <v>17576.259999999998</v>
      </c>
    </row>
    <row r="15" spans="1:17" x14ac:dyDescent="0.25">
      <c r="A15" s="50" t="s">
        <v>6</v>
      </c>
      <c r="B15" s="44">
        <f>10370.38+3608.89</f>
        <v>13979.269999999999</v>
      </c>
      <c r="C15" s="71">
        <v>2074.08</v>
      </c>
      <c r="D15" s="78"/>
      <c r="E15" s="78"/>
      <c r="F15" s="78"/>
      <c r="G15" s="78"/>
      <c r="H15" s="79"/>
      <c r="I15" s="41">
        <f t="shared" si="3"/>
        <v>16053.349999999999</v>
      </c>
      <c r="J15" s="11">
        <v>3297.08</v>
      </c>
      <c r="K15" s="11">
        <v>713.08</v>
      </c>
      <c r="L15" s="4">
        <f t="shared" ref="L15:L42" si="7">I15-J15-K15-P15</f>
        <v>232.49999999999818</v>
      </c>
      <c r="M15" s="4">
        <f t="shared" si="1"/>
        <v>4242.659999999998</v>
      </c>
      <c r="N15" s="53">
        <f t="shared" si="2"/>
        <v>11810.69</v>
      </c>
      <c r="O15" s="60"/>
      <c r="P15" s="61">
        <v>11810.69</v>
      </c>
    </row>
    <row r="16" spans="1:17" x14ac:dyDescent="0.25">
      <c r="A16" s="50" t="s">
        <v>7</v>
      </c>
      <c r="B16" s="44">
        <f>11980.55+3522.28</f>
        <v>15502.83</v>
      </c>
      <c r="C16" s="71">
        <v>4792.22</v>
      </c>
      <c r="D16" s="78"/>
      <c r="E16" s="78"/>
      <c r="F16" s="78">
        <f>798.7+234.82+451+319.48</f>
        <v>1804</v>
      </c>
      <c r="G16" s="78"/>
      <c r="H16" s="79"/>
      <c r="I16" s="41">
        <f t="shared" si="3"/>
        <v>22099.05</v>
      </c>
      <c r="J16" s="11">
        <v>4515.68</v>
      </c>
      <c r="K16" s="11">
        <v>713.08</v>
      </c>
      <c r="L16" s="4">
        <f t="shared" si="7"/>
        <v>1911.1999999999971</v>
      </c>
      <c r="M16" s="4">
        <f t="shared" si="1"/>
        <v>7139.9599999999973</v>
      </c>
      <c r="N16" s="53">
        <f t="shared" si="2"/>
        <v>14959.090000000002</v>
      </c>
      <c r="O16" s="60"/>
      <c r="P16" s="61">
        <v>14959.09</v>
      </c>
    </row>
    <row r="17" spans="1:16" x14ac:dyDescent="0.25">
      <c r="A17" s="50" t="s">
        <v>8</v>
      </c>
      <c r="B17" s="44">
        <f>530.64+37.14</f>
        <v>567.78</v>
      </c>
      <c r="C17" s="71"/>
      <c r="D17" s="78"/>
      <c r="E17" s="78">
        <f>1743.52+122.05+621.85</f>
        <v>2487.42</v>
      </c>
      <c r="F17" s="78"/>
      <c r="G17" s="78"/>
      <c r="H17" s="79"/>
      <c r="I17" s="41">
        <f t="shared" si="3"/>
        <v>3055.2</v>
      </c>
      <c r="J17" s="11"/>
      <c r="K17" s="11">
        <f>81.11+207.14</f>
        <v>288.25</v>
      </c>
      <c r="L17" s="4">
        <f t="shared" si="7"/>
        <v>2297.77</v>
      </c>
      <c r="M17" s="4">
        <f t="shared" si="1"/>
        <v>2586.02</v>
      </c>
      <c r="N17" s="53">
        <f t="shared" si="2"/>
        <v>469.17999999999984</v>
      </c>
      <c r="O17" s="60"/>
      <c r="P17" s="61">
        <v>469.18</v>
      </c>
    </row>
    <row r="18" spans="1:16" x14ac:dyDescent="0.25">
      <c r="A18" s="50" t="s">
        <v>9</v>
      </c>
      <c r="B18" s="44">
        <f>1781.42+445.36</f>
        <v>2226.7800000000002</v>
      </c>
      <c r="C18" s="71"/>
      <c r="D18" s="78"/>
      <c r="E18" s="78"/>
      <c r="F18" s="78"/>
      <c r="G18" s="78"/>
      <c r="H18" s="79"/>
      <c r="I18" s="41">
        <f t="shared" si="3"/>
        <v>2226.7800000000002</v>
      </c>
      <c r="J18" s="11">
        <v>10.050000000000001</v>
      </c>
      <c r="K18" s="11">
        <v>188.84</v>
      </c>
      <c r="L18" s="4">
        <f t="shared" si="7"/>
        <v>121.92000000000007</v>
      </c>
      <c r="M18" s="4">
        <f t="shared" si="1"/>
        <v>320.81000000000006</v>
      </c>
      <c r="N18" s="53">
        <f t="shared" si="2"/>
        <v>1905.9700000000003</v>
      </c>
      <c r="O18" s="60"/>
      <c r="P18" s="61">
        <v>1905.97</v>
      </c>
    </row>
    <row r="19" spans="1:16" x14ac:dyDescent="0.25">
      <c r="A19" s="50" t="s">
        <v>82</v>
      </c>
      <c r="B19" s="44">
        <f>1245.8+12.46</f>
        <v>1258.26</v>
      </c>
      <c r="C19" s="71"/>
      <c r="D19" s="78"/>
      <c r="E19" s="78">
        <f>1423.77+14.24+479.34</f>
        <v>1917.35</v>
      </c>
      <c r="F19" s="78"/>
      <c r="G19" s="78"/>
      <c r="H19" s="79"/>
      <c r="I19" s="41">
        <f t="shared" si="3"/>
        <v>3175.6099999999997</v>
      </c>
      <c r="J19" s="11"/>
      <c r="K19" s="11">
        <f>146.64+156.88</f>
        <v>303.52</v>
      </c>
      <c r="L19" s="4">
        <f t="shared" si="7"/>
        <v>2029.0099999999998</v>
      </c>
      <c r="M19" s="4">
        <f t="shared" si="1"/>
        <v>2332.5299999999997</v>
      </c>
      <c r="N19" s="53">
        <f t="shared" si="2"/>
        <v>843.07999999999993</v>
      </c>
      <c r="O19" s="60"/>
      <c r="P19" s="61">
        <v>843.08</v>
      </c>
    </row>
    <row r="20" spans="1:16" x14ac:dyDescent="0.25">
      <c r="A20" s="50" t="s">
        <v>10</v>
      </c>
      <c r="B20" s="44">
        <f>5026.06+784.07</f>
        <v>5810.13</v>
      </c>
      <c r="C20" s="71">
        <v>1005.21</v>
      </c>
      <c r="D20" s="78"/>
      <c r="E20" s="78"/>
      <c r="F20" s="78"/>
      <c r="G20" s="78"/>
      <c r="H20" s="79"/>
      <c r="I20" s="41">
        <f t="shared" si="3"/>
        <v>6815.34</v>
      </c>
      <c r="J20" s="11">
        <v>652.35</v>
      </c>
      <c r="K20" s="11">
        <f>303.77+409.31</f>
        <v>713.07999999999993</v>
      </c>
      <c r="L20" s="4">
        <f t="shared" si="7"/>
        <v>546.47000000000025</v>
      </c>
      <c r="M20" s="4">
        <f t="shared" si="1"/>
        <v>1911.9</v>
      </c>
      <c r="N20" s="53">
        <f t="shared" si="2"/>
        <v>4903.4400000000005</v>
      </c>
      <c r="O20" s="60"/>
      <c r="P20" s="61">
        <v>4903.4399999999996</v>
      </c>
    </row>
    <row r="21" spans="1:16" x14ac:dyDescent="0.25">
      <c r="A21" s="50" t="s">
        <v>11</v>
      </c>
      <c r="B21" s="44">
        <f>2274.15+181.93</f>
        <v>2456.08</v>
      </c>
      <c r="C21" s="71"/>
      <c r="D21" s="78"/>
      <c r="E21" s="78"/>
      <c r="F21" s="78"/>
      <c r="G21" s="78"/>
      <c r="H21" s="79"/>
      <c r="I21" s="41">
        <f t="shared" si="3"/>
        <v>2456.08</v>
      </c>
      <c r="J21" s="11">
        <v>25.18</v>
      </c>
      <c r="K21" s="11">
        <v>216.35</v>
      </c>
      <c r="L21" s="4">
        <f t="shared" si="7"/>
        <v>28.860000000000127</v>
      </c>
      <c r="M21" s="4">
        <f t="shared" si="1"/>
        <v>270.3900000000001</v>
      </c>
      <c r="N21" s="53">
        <f t="shared" si="2"/>
        <v>2185.6899999999996</v>
      </c>
      <c r="O21" s="60"/>
      <c r="P21" s="61">
        <v>2185.69</v>
      </c>
    </row>
    <row r="22" spans="1:16" x14ac:dyDescent="0.25">
      <c r="A22" s="50" t="s">
        <v>12</v>
      </c>
      <c r="B22" s="44">
        <f>13212.02+7451.58</f>
        <v>20663.599999999999</v>
      </c>
      <c r="C22" s="71">
        <v>17836.23</v>
      </c>
      <c r="D22" s="78"/>
      <c r="E22" s="78"/>
      <c r="F22" s="78"/>
      <c r="G22" s="78"/>
      <c r="H22" s="79"/>
      <c r="I22" s="41">
        <f t="shared" si="3"/>
        <v>38499.83</v>
      </c>
      <c r="J22" s="11">
        <v>9522</v>
      </c>
      <c r="K22" s="11">
        <v>713.08</v>
      </c>
      <c r="L22" s="4">
        <f t="shared" si="7"/>
        <v>263.86999999999898</v>
      </c>
      <c r="M22" s="4">
        <f t="shared" si="1"/>
        <v>10498.949999999999</v>
      </c>
      <c r="N22" s="53">
        <f t="shared" si="2"/>
        <v>28000.880000000005</v>
      </c>
      <c r="O22" s="60"/>
      <c r="P22" s="61">
        <v>28000.880000000001</v>
      </c>
    </row>
    <row r="23" spans="1:16" x14ac:dyDescent="0.25">
      <c r="A23" s="50" t="s">
        <v>13</v>
      </c>
      <c r="B23" s="44">
        <f>11980.55+3737.93</f>
        <v>15718.48</v>
      </c>
      <c r="C23" s="71">
        <v>2396.11</v>
      </c>
      <c r="D23" s="78"/>
      <c r="E23" s="78"/>
      <c r="F23" s="78">
        <f>559.09+2795.46+872.19+1408.91</f>
        <v>5635.65</v>
      </c>
      <c r="G23" s="78"/>
      <c r="H23" s="79"/>
      <c r="I23" s="41">
        <f t="shared" si="3"/>
        <v>23750.239999999998</v>
      </c>
      <c r="J23" s="11">
        <v>3863.92</v>
      </c>
      <c r="K23" s="11">
        <v>713.08</v>
      </c>
      <c r="L23" s="4">
        <f t="shared" si="7"/>
        <v>7780.6499999999978</v>
      </c>
      <c r="M23" s="4">
        <f t="shared" si="1"/>
        <v>12357.649999999998</v>
      </c>
      <c r="N23" s="53">
        <f t="shared" si="2"/>
        <v>11392.59</v>
      </c>
      <c r="O23" s="60"/>
      <c r="P23" s="61">
        <v>11392.59</v>
      </c>
    </row>
    <row r="24" spans="1:16" x14ac:dyDescent="0.25">
      <c r="A24" s="50" t="s">
        <v>14</v>
      </c>
      <c r="B24" s="44">
        <f>5216.65+1147.66</f>
        <v>6364.3099999999995</v>
      </c>
      <c r="C24" s="71"/>
      <c r="D24" s="78"/>
      <c r="E24" s="78"/>
      <c r="F24" s="78"/>
      <c r="G24" s="78"/>
      <c r="H24" s="79"/>
      <c r="I24" s="41">
        <f t="shared" si="3"/>
        <v>6364.3099999999995</v>
      </c>
      <c r="J24" s="11">
        <v>580.45000000000005</v>
      </c>
      <c r="K24" s="11">
        <v>713.08</v>
      </c>
      <c r="L24" s="4">
        <f t="shared" si="7"/>
        <v>1333.56</v>
      </c>
      <c r="M24" s="4">
        <f t="shared" si="1"/>
        <v>2627.09</v>
      </c>
      <c r="N24" s="53">
        <f t="shared" si="2"/>
        <v>3737.2199999999993</v>
      </c>
      <c r="O24" s="60"/>
      <c r="P24" s="61">
        <v>3737.22</v>
      </c>
    </row>
    <row r="25" spans="1:16" x14ac:dyDescent="0.25">
      <c r="A25" s="50" t="s">
        <v>69</v>
      </c>
      <c r="B25" s="44">
        <f>1666.46+49.99</f>
        <v>1716.45</v>
      </c>
      <c r="C25" s="71"/>
      <c r="D25" s="78"/>
      <c r="E25" s="78">
        <f>1110.97+33.33+381.43</f>
        <v>1525.73</v>
      </c>
      <c r="F25" s="78"/>
      <c r="G25" s="78"/>
      <c r="H25" s="79"/>
      <c r="I25" s="41">
        <f t="shared" si="3"/>
        <v>3242.1800000000003</v>
      </c>
      <c r="J25" s="11"/>
      <c r="K25" s="11">
        <f>191.21+212.63</f>
        <v>403.84000000000003</v>
      </c>
      <c r="L25" s="4">
        <f t="shared" si="7"/>
        <v>1442.8500000000001</v>
      </c>
      <c r="M25" s="4">
        <f t="shared" si="1"/>
        <v>1846.69</v>
      </c>
      <c r="N25" s="53">
        <f t="shared" si="2"/>
        <v>1395.4900000000002</v>
      </c>
      <c r="O25" s="60"/>
      <c r="P25" s="61">
        <v>1395.49</v>
      </c>
    </row>
    <row r="26" spans="1:16" x14ac:dyDescent="0.25">
      <c r="A26" s="50" t="s">
        <v>15</v>
      </c>
      <c r="B26" s="44">
        <f>10383.14+3239.54</f>
        <v>13622.68</v>
      </c>
      <c r="C26" s="71">
        <v>2076.63</v>
      </c>
      <c r="D26" s="78"/>
      <c r="E26" s="78">
        <f>319.48+1597.41+498.39+805.09</f>
        <v>3220.3700000000003</v>
      </c>
      <c r="F26" s="78">
        <f>798.7+3993.52+1245.98+2012.73</f>
        <v>8050.93</v>
      </c>
      <c r="G26" s="78"/>
      <c r="H26" s="79"/>
      <c r="I26" s="41">
        <f t="shared" si="3"/>
        <v>26970.61</v>
      </c>
      <c r="J26" s="11">
        <v>3238.94</v>
      </c>
      <c r="K26" s="11">
        <v>713.08</v>
      </c>
      <c r="L26" s="4">
        <f t="shared" si="7"/>
        <v>14961.59</v>
      </c>
      <c r="M26" s="4">
        <f t="shared" si="1"/>
        <v>18913.61</v>
      </c>
      <c r="N26" s="53">
        <f t="shared" si="2"/>
        <v>8057</v>
      </c>
      <c r="O26" s="60"/>
      <c r="P26" s="61">
        <v>8057</v>
      </c>
    </row>
    <row r="27" spans="1:16" x14ac:dyDescent="0.25">
      <c r="A27" s="50" t="s">
        <v>16</v>
      </c>
      <c r="B27" s="44">
        <f>5216.65+1565</f>
        <v>6781.65</v>
      </c>
      <c r="C27" s="71"/>
      <c r="D27" s="78"/>
      <c r="E27" s="78"/>
      <c r="F27" s="78"/>
      <c r="G27" s="78"/>
      <c r="H27" s="79"/>
      <c r="I27" s="41">
        <f t="shared" si="3"/>
        <v>6781.65</v>
      </c>
      <c r="J27" s="11">
        <v>695.22</v>
      </c>
      <c r="K27" s="11">
        <v>713.08</v>
      </c>
      <c r="L27" s="4">
        <f t="shared" si="7"/>
        <v>58.289999999999054</v>
      </c>
      <c r="M27" s="4">
        <f t="shared" si="1"/>
        <v>1466.5899999999992</v>
      </c>
      <c r="N27" s="53">
        <f>SUM(I27-M27)+G27</f>
        <v>5315.06</v>
      </c>
      <c r="O27" s="60"/>
      <c r="P27" s="61">
        <v>5315.06</v>
      </c>
    </row>
    <row r="28" spans="1:16" x14ac:dyDescent="0.25">
      <c r="A28" s="50" t="s">
        <v>17</v>
      </c>
      <c r="B28" s="44">
        <f>6305.43+378.33</f>
        <v>6683.76</v>
      </c>
      <c r="C28" s="71"/>
      <c r="D28" s="78"/>
      <c r="E28" s="78">
        <f>700.6+42.04+247.55</f>
        <v>990.19</v>
      </c>
      <c r="F28" s="78"/>
      <c r="G28" s="78"/>
      <c r="H28" s="79"/>
      <c r="I28" s="41">
        <f t="shared" si="3"/>
        <v>7673.9500000000007</v>
      </c>
      <c r="J28" s="11">
        <v>803.54</v>
      </c>
      <c r="K28" s="11">
        <v>713.08</v>
      </c>
      <c r="L28" s="4">
        <f t="shared" si="7"/>
        <v>953.78000000000065</v>
      </c>
      <c r="M28" s="4">
        <f t="shared" si="1"/>
        <v>2470.4000000000005</v>
      </c>
      <c r="N28" s="53">
        <f t="shared" si="2"/>
        <v>5203.55</v>
      </c>
      <c r="O28" s="60"/>
      <c r="P28" s="61">
        <v>5203.55</v>
      </c>
    </row>
    <row r="29" spans="1:16" x14ac:dyDescent="0.25">
      <c r="A29" s="50" t="s">
        <v>18</v>
      </c>
      <c r="B29" s="45">
        <f>1312.51+105</f>
        <v>1417.51</v>
      </c>
      <c r="C29" s="72"/>
      <c r="D29" s="78"/>
      <c r="E29" s="78">
        <f>875.01+70+315</f>
        <v>1260.01</v>
      </c>
      <c r="F29" s="78"/>
      <c r="G29" s="78"/>
      <c r="H29" s="79"/>
      <c r="I29" s="41">
        <f t="shared" si="3"/>
        <v>2677.52</v>
      </c>
      <c r="J29" s="11">
        <v>72.709999999999994</v>
      </c>
      <c r="K29" s="11">
        <f>122.95+119.98</f>
        <v>242.93</v>
      </c>
      <c r="L29" s="4">
        <f t="shared" si="7"/>
        <v>1258.5700000000002</v>
      </c>
      <c r="M29" s="4">
        <f t="shared" si="1"/>
        <v>1574.21</v>
      </c>
      <c r="N29" s="53">
        <f t="shared" si="2"/>
        <v>1103.31</v>
      </c>
      <c r="O29" s="60"/>
      <c r="P29" s="61">
        <v>1103.31</v>
      </c>
    </row>
    <row r="30" spans="1:16" x14ac:dyDescent="0.25">
      <c r="A30" s="50" t="s">
        <v>19</v>
      </c>
      <c r="B30" s="44">
        <f>4294.59+1058.92</f>
        <v>5353.51</v>
      </c>
      <c r="C30" s="71">
        <v>1000</v>
      </c>
      <c r="D30" s="78"/>
      <c r="E30" s="78"/>
      <c r="F30" s="78"/>
      <c r="G30" s="78"/>
      <c r="H30" s="79"/>
      <c r="I30" s="41">
        <f t="shared" si="3"/>
        <v>6353.51</v>
      </c>
      <c r="J30" s="11">
        <v>577.48</v>
      </c>
      <c r="K30" s="11">
        <v>713.08</v>
      </c>
      <c r="L30" s="4">
        <f t="shared" si="7"/>
        <v>645.40000000000055</v>
      </c>
      <c r="M30" s="4">
        <f t="shared" si="1"/>
        <v>1935.9600000000005</v>
      </c>
      <c r="N30" s="53">
        <f t="shared" si="2"/>
        <v>4417.5499999999993</v>
      </c>
      <c r="O30" s="60"/>
      <c r="P30" s="61">
        <v>4417.55</v>
      </c>
    </row>
    <row r="31" spans="1:16" x14ac:dyDescent="0.25">
      <c r="A31" s="50" t="s">
        <v>20</v>
      </c>
      <c r="B31" s="44">
        <f>2374.03+712.21</f>
        <v>3086.2400000000002</v>
      </c>
      <c r="C31" s="71"/>
      <c r="D31" s="78"/>
      <c r="E31" s="78">
        <f>2374.03+712.21+1028.75</f>
        <v>4114.99</v>
      </c>
      <c r="F31" s="78"/>
      <c r="G31" s="78"/>
      <c r="H31" s="79"/>
      <c r="I31" s="41">
        <f t="shared" si="3"/>
        <v>7201.23</v>
      </c>
      <c r="J31" s="11">
        <f>67.81+197.19</f>
        <v>265</v>
      </c>
      <c r="K31" s="11">
        <v>713.08</v>
      </c>
      <c r="L31" s="4">
        <f t="shared" si="7"/>
        <v>3699.1499999999996</v>
      </c>
      <c r="M31" s="4">
        <f t="shared" si="1"/>
        <v>4677.2299999999996</v>
      </c>
      <c r="N31" s="53">
        <f t="shared" si="2"/>
        <v>2524</v>
      </c>
      <c r="O31" s="60"/>
      <c r="P31" s="61">
        <v>2524</v>
      </c>
    </row>
    <row r="32" spans="1:16" x14ac:dyDescent="0.25">
      <c r="A32" s="50" t="s">
        <v>21</v>
      </c>
      <c r="B32" s="44">
        <f>7308.24</f>
        <v>7308.24</v>
      </c>
      <c r="C32" s="71"/>
      <c r="D32" s="78"/>
      <c r="E32" s="78"/>
      <c r="F32" s="78"/>
      <c r="G32" s="78"/>
      <c r="H32" s="79"/>
      <c r="I32" s="41">
        <f t="shared" si="3"/>
        <v>7308.24</v>
      </c>
      <c r="J32" s="11">
        <v>944.31</v>
      </c>
      <c r="K32" s="11">
        <v>713.08</v>
      </c>
      <c r="L32" s="4">
        <f t="shared" si="7"/>
        <v>1381.17</v>
      </c>
      <c r="M32" s="4">
        <f t="shared" si="1"/>
        <v>3038.56</v>
      </c>
      <c r="N32" s="53">
        <f t="shared" si="2"/>
        <v>4269.68</v>
      </c>
      <c r="O32" s="60"/>
      <c r="P32" s="61">
        <v>4269.68</v>
      </c>
    </row>
    <row r="33" spans="1:16" x14ac:dyDescent="0.25">
      <c r="A33" s="50" t="s">
        <v>74</v>
      </c>
      <c r="B33" s="44">
        <f>4441.25+88.83</f>
        <v>4530.08</v>
      </c>
      <c r="C33" s="71"/>
      <c r="D33" s="78"/>
      <c r="E33" s="78"/>
      <c r="F33" s="78"/>
      <c r="G33" s="78"/>
      <c r="H33" s="79"/>
      <c r="I33" s="41">
        <f t="shared" si="3"/>
        <v>4530.08</v>
      </c>
      <c r="J33" s="11">
        <v>272.18</v>
      </c>
      <c r="K33" s="11">
        <v>493.15</v>
      </c>
      <c r="L33" s="4">
        <f t="shared" ref="L33" si="8">I33-J33-K33-P33</f>
        <v>85.519999999999527</v>
      </c>
      <c r="M33" s="4">
        <f t="shared" ref="M33" si="9">SUM(J33:L33)</f>
        <v>850.84999999999945</v>
      </c>
      <c r="N33" s="53">
        <f>SUM(I33-M33)+G33</f>
        <v>3679.2300000000005</v>
      </c>
      <c r="O33" s="60"/>
      <c r="P33" s="61">
        <v>3679.23</v>
      </c>
    </row>
    <row r="34" spans="1:16" x14ac:dyDescent="0.25">
      <c r="A34" s="50" t="s">
        <v>22</v>
      </c>
      <c r="B34" s="44">
        <v>2063.08</v>
      </c>
      <c r="C34" s="71"/>
      <c r="D34" s="78"/>
      <c r="E34" s="78"/>
      <c r="F34" s="78"/>
      <c r="G34" s="78"/>
      <c r="H34" s="79"/>
      <c r="I34" s="41">
        <f t="shared" si="3"/>
        <v>2063.08</v>
      </c>
      <c r="J34" s="11"/>
      <c r="K34" s="11">
        <v>169.99</v>
      </c>
      <c r="L34" s="4">
        <f t="shared" si="7"/>
        <v>126.45999999999981</v>
      </c>
      <c r="M34" s="4">
        <f t="shared" si="1"/>
        <v>296.44999999999982</v>
      </c>
      <c r="N34" s="53">
        <f>SUM(I34-M34)+G34</f>
        <v>1766.63</v>
      </c>
      <c r="O34" s="60"/>
      <c r="P34" s="61">
        <v>1766.63</v>
      </c>
    </row>
    <row r="35" spans="1:16" x14ac:dyDescent="0.25">
      <c r="A35" s="50" t="s">
        <v>23</v>
      </c>
      <c r="B35" s="44">
        <f>5021.09+662.78</f>
        <v>5683.87</v>
      </c>
      <c r="C35" s="71">
        <v>1004.22</v>
      </c>
      <c r="D35" s="78"/>
      <c r="E35" s="78"/>
      <c r="F35" s="78"/>
      <c r="G35" s="78"/>
      <c r="H35" s="79"/>
      <c r="I35" s="41">
        <f t="shared" si="3"/>
        <v>6688.09</v>
      </c>
      <c r="J35" s="11">
        <v>773.77</v>
      </c>
      <c r="K35" s="11">
        <f>229.92+483.16</f>
        <v>713.08</v>
      </c>
      <c r="L35" s="4">
        <f t="shared" si="7"/>
        <v>66.059999999999491</v>
      </c>
      <c r="M35" s="4">
        <f t="shared" si="1"/>
        <v>1552.9099999999994</v>
      </c>
      <c r="N35" s="53">
        <f t="shared" si="2"/>
        <v>5135.18</v>
      </c>
      <c r="O35" s="60"/>
      <c r="P35" s="61">
        <v>5135.18</v>
      </c>
    </row>
    <row r="36" spans="1:16" x14ac:dyDescent="0.25">
      <c r="A36" s="50" t="s">
        <v>24</v>
      </c>
      <c r="B36" s="44">
        <f>11980.55+3737.93</f>
        <v>15718.48</v>
      </c>
      <c r="C36" s="71">
        <v>2396.11</v>
      </c>
      <c r="D36" s="78"/>
      <c r="E36" s="78"/>
      <c r="F36" s="78"/>
      <c r="G36" s="78"/>
      <c r="H36" s="79"/>
      <c r="I36" s="41">
        <f t="shared" si="3"/>
        <v>18114.59</v>
      </c>
      <c r="J36" s="11">
        <v>3863.92</v>
      </c>
      <c r="K36" s="11">
        <v>713.08</v>
      </c>
      <c r="L36" s="4">
        <f t="shared" si="7"/>
        <v>521.52000000000044</v>
      </c>
      <c r="M36" s="4">
        <f t="shared" si="1"/>
        <v>5098.5200000000004</v>
      </c>
      <c r="N36" s="53">
        <f>SUM(I36-M36)+G36</f>
        <v>13016.07</v>
      </c>
      <c r="O36" s="60"/>
      <c r="P36" s="61">
        <v>13016.07</v>
      </c>
    </row>
    <row r="37" spans="1:16" x14ac:dyDescent="0.25">
      <c r="A37" s="50" t="s">
        <v>25</v>
      </c>
      <c r="B37" s="44">
        <f>11980.55+3450.4</f>
        <v>15430.949999999999</v>
      </c>
      <c r="C37" s="71">
        <v>2396.11</v>
      </c>
      <c r="D37" s="78"/>
      <c r="E37" s="78"/>
      <c r="F37" s="78"/>
      <c r="G37" s="78"/>
      <c r="H37" s="79"/>
      <c r="I37" s="41">
        <f t="shared" si="3"/>
        <v>17827.059999999998</v>
      </c>
      <c r="J37" s="11">
        <v>3784.85</v>
      </c>
      <c r="K37" s="11">
        <v>713.08</v>
      </c>
      <c r="L37" s="4">
        <f t="shared" si="7"/>
        <v>125.92999999999665</v>
      </c>
      <c r="M37" s="4">
        <f t="shared" si="1"/>
        <v>4623.8599999999969</v>
      </c>
      <c r="N37" s="53">
        <f t="shared" si="2"/>
        <v>13203.2</v>
      </c>
      <c r="O37" s="60"/>
      <c r="P37" s="61">
        <v>13203.2</v>
      </c>
    </row>
    <row r="38" spans="1:16" x14ac:dyDescent="0.25">
      <c r="A38" s="50" t="s">
        <v>75</v>
      </c>
      <c r="B38" s="44">
        <f>4927.52+591.3</f>
        <v>5518.8200000000006</v>
      </c>
      <c r="C38" s="71">
        <v>985.5</v>
      </c>
      <c r="D38" s="78"/>
      <c r="E38" s="78"/>
      <c r="F38" s="78"/>
      <c r="G38" s="78"/>
      <c r="H38" s="79"/>
      <c r="I38" s="41">
        <f t="shared" si="3"/>
        <v>6504.3200000000006</v>
      </c>
      <c r="J38" s="11">
        <v>723.23</v>
      </c>
      <c r="K38" s="11">
        <v>713.08</v>
      </c>
      <c r="L38" s="4">
        <f t="shared" si="7"/>
        <v>192.57999999999993</v>
      </c>
      <c r="M38" s="4">
        <f t="shared" si="1"/>
        <v>1628.8899999999999</v>
      </c>
      <c r="N38" s="53">
        <f t="shared" si="2"/>
        <v>4875.43</v>
      </c>
      <c r="O38" s="60"/>
      <c r="P38" s="61">
        <v>4875.43</v>
      </c>
    </row>
    <row r="39" spans="1:16" x14ac:dyDescent="0.25">
      <c r="A39" s="50" t="s">
        <v>26</v>
      </c>
      <c r="B39" s="44">
        <f>4657.65+335.35</f>
        <v>4993</v>
      </c>
      <c r="C39" s="71">
        <v>931.53</v>
      </c>
      <c r="D39" s="78"/>
      <c r="E39" s="78"/>
      <c r="F39" s="78"/>
      <c r="G39" s="78"/>
      <c r="H39" s="79"/>
      <c r="I39" s="41">
        <f t="shared" si="3"/>
        <v>5924.53</v>
      </c>
      <c r="J39" s="11">
        <v>466.31</v>
      </c>
      <c r="K39" s="11">
        <v>688.37</v>
      </c>
      <c r="L39" s="4">
        <f t="shared" si="7"/>
        <v>1408.9899999999993</v>
      </c>
      <c r="M39" s="4">
        <f t="shared" si="1"/>
        <v>2563.6699999999992</v>
      </c>
      <c r="N39" s="53">
        <f>SUM(I39-M39)+G39</f>
        <v>3360.8600000000006</v>
      </c>
      <c r="O39" s="60"/>
      <c r="P39" s="61">
        <v>3360.86</v>
      </c>
    </row>
    <row r="40" spans="1:16" x14ac:dyDescent="0.25">
      <c r="A40" s="50" t="s">
        <v>71</v>
      </c>
      <c r="B40" s="44">
        <f>1704.59+34.09</f>
        <v>1738.6799999999998</v>
      </c>
      <c r="C40" s="71"/>
      <c r="D40" s="78"/>
      <c r="E40" s="78">
        <f>121.76+2.44+41.4</f>
        <v>165.6</v>
      </c>
      <c r="F40" s="78"/>
      <c r="G40" s="78"/>
      <c r="H40" s="79"/>
      <c r="I40" s="41">
        <f t="shared" si="3"/>
        <v>1904.2799999999997</v>
      </c>
      <c r="J40" s="11"/>
      <c r="K40" s="11">
        <f>142.05+13.65</f>
        <v>155.70000000000002</v>
      </c>
      <c r="L40" s="4">
        <f t="shared" ref="L40" si="10">I40-J40-K40-P40</f>
        <v>167.19999999999959</v>
      </c>
      <c r="M40" s="4">
        <f t="shared" ref="M40" si="11">SUM(J40:L40)</f>
        <v>322.89999999999964</v>
      </c>
      <c r="N40" s="53">
        <f t="shared" ref="N40" si="12">SUM(I40-M40)</f>
        <v>1581.38</v>
      </c>
      <c r="O40" s="60"/>
      <c r="P40" s="61">
        <v>1581.38</v>
      </c>
    </row>
    <row r="41" spans="1:16" x14ac:dyDescent="0.25">
      <c r="A41" s="50" t="s">
        <v>27</v>
      </c>
      <c r="B41" s="44">
        <f>1539.45+169.34</f>
        <v>1708.79</v>
      </c>
      <c r="C41" s="71"/>
      <c r="D41" s="78"/>
      <c r="E41" s="78">
        <f>1177.23+129.5+435.58</f>
        <v>1742.31</v>
      </c>
      <c r="F41" s="78"/>
      <c r="G41" s="78"/>
      <c r="H41" s="79"/>
      <c r="I41" s="41">
        <f t="shared" si="3"/>
        <v>3451.1</v>
      </c>
      <c r="J41" s="11"/>
      <c r="K41" s="11">
        <f>198.87+143.22</f>
        <v>342.09000000000003</v>
      </c>
      <c r="L41" s="4">
        <f t="shared" si="7"/>
        <v>2425.04</v>
      </c>
      <c r="M41" s="4">
        <f t="shared" si="1"/>
        <v>2767.13</v>
      </c>
      <c r="N41" s="53">
        <f t="shared" si="2"/>
        <v>683.9699999999998</v>
      </c>
      <c r="O41" s="60"/>
      <c r="P41" s="61">
        <v>683.97</v>
      </c>
    </row>
    <row r="42" spans="1:16" ht="15.75" thickBot="1" x14ac:dyDescent="0.3">
      <c r="A42" s="50" t="s">
        <v>28</v>
      </c>
      <c r="B42" s="46">
        <f>11980.55+3594.17</f>
        <v>15574.72</v>
      </c>
      <c r="C42" s="73">
        <v>2396.11</v>
      </c>
      <c r="D42" s="78"/>
      <c r="E42" s="78"/>
      <c r="F42" s="78"/>
      <c r="G42" s="78"/>
      <c r="H42" s="79"/>
      <c r="I42" s="42">
        <f>SUM(B42:H42)</f>
        <v>17970.829999999998</v>
      </c>
      <c r="J42" s="11">
        <v>3772.25</v>
      </c>
      <c r="K42" s="11">
        <v>713.08</v>
      </c>
      <c r="L42" s="4">
        <f t="shared" si="7"/>
        <v>63.119999999998981</v>
      </c>
      <c r="M42" s="4">
        <f t="shared" si="1"/>
        <v>4548.4499999999989</v>
      </c>
      <c r="N42" s="54">
        <f t="shared" si="2"/>
        <v>13422.38</v>
      </c>
      <c r="O42" s="60"/>
      <c r="P42" s="61">
        <v>13422.38</v>
      </c>
    </row>
    <row r="43" spans="1:16" x14ac:dyDescent="0.25">
      <c r="A43" s="95" t="s">
        <v>58</v>
      </c>
      <c r="B43" s="97" t="s">
        <v>48</v>
      </c>
      <c r="C43" s="104" t="s">
        <v>87</v>
      </c>
      <c r="D43" s="101" t="s">
        <v>49</v>
      </c>
      <c r="E43" s="101" t="s">
        <v>88</v>
      </c>
      <c r="F43" s="66" t="s">
        <v>89</v>
      </c>
      <c r="G43" s="68" t="s">
        <v>91</v>
      </c>
      <c r="H43" s="36" t="s">
        <v>63</v>
      </c>
      <c r="I43" s="56" t="s">
        <v>50</v>
      </c>
      <c r="J43" s="99" t="s">
        <v>52</v>
      </c>
      <c r="K43" s="99" t="s">
        <v>53</v>
      </c>
      <c r="L43" s="36" t="s">
        <v>54</v>
      </c>
      <c r="M43" s="36" t="s">
        <v>56</v>
      </c>
      <c r="N43" s="58" t="s">
        <v>50</v>
      </c>
      <c r="O43" s="63"/>
      <c r="P43" s="63"/>
    </row>
    <row r="44" spans="1:16" ht="15.75" thickBot="1" x14ac:dyDescent="0.3">
      <c r="A44" s="96"/>
      <c r="B44" s="98"/>
      <c r="C44" s="105"/>
      <c r="D44" s="102"/>
      <c r="E44" s="102"/>
      <c r="F44" s="67" t="s">
        <v>90</v>
      </c>
      <c r="G44" s="69" t="s">
        <v>67</v>
      </c>
      <c r="H44" s="37" t="s">
        <v>64</v>
      </c>
      <c r="I44" s="57" t="s">
        <v>51</v>
      </c>
      <c r="J44" s="100"/>
      <c r="K44" s="100"/>
      <c r="L44" s="37" t="s">
        <v>55</v>
      </c>
      <c r="M44" s="37" t="s">
        <v>55</v>
      </c>
      <c r="N44" s="59" t="s">
        <v>57</v>
      </c>
      <c r="O44" s="63"/>
      <c r="P44" s="63"/>
    </row>
    <row r="45" spans="1:16" x14ac:dyDescent="0.25">
      <c r="A45" s="50" t="s">
        <v>29</v>
      </c>
      <c r="B45" s="48">
        <v>2069.3000000000002</v>
      </c>
      <c r="C45" s="74"/>
      <c r="D45" s="78"/>
      <c r="E45" s="78"/>
      <c r="F45" s="78"/>
      <c r="G45" s="78"/>
      <c r="H45" s="79"/>
      <c r="I45" s="47">
        <f>SUM(B45:H45)</f>
        <v>2069.3000000000002</v>
      </c>
      <c r="J45" s="11"/>
      <c r="K45" s="11">
        <v>170.55</v>
      </c>
      <c r="L45" s="4">
        <f t="shared" ref="L45:L66" si="13">I45-J45-K45-P45</f>
        <v>754.55000000000018</v>
      </c>
      <c r="M45" s="4">
        <f t="shared" si="1"/>
        <v>925.10000000000014</v>
      </c>
      <c r="N45" s="55">
        <f t="shared" si="2"/>
        <v>1144.2</v>
      </c>
      <c r="O45" s="60"/>
      <c r="P45" s="61">
        <v>1144.2</v>
      </c>
    </row>
    <row r="46" spans="1:16" x14ac:dyDescent="0.25">
      <c r="A46" s="50" t="s">
        <v>30</v>
      </c>
      <c r="B46" s="44">
        <f>2095.15+419.03</f>
        <v>2514.1800000000003</v>
      </c>
      <c r="C46" s="71"/>
      <c r="D46" s="78"/>
      <c r="E46" s="78">
        <f>1396.77+279.35+558.71</f>
        <v>2234.83</v>
      </c>
      <c r="F46" s="78"/>
      <c r="G46" s="78"/>
      <c r="H46" s="80"/>
      <c r="I46" s="41">
        <f>SUM(B46:H46)</f>
        <v>4749.01</v>
      </c>
      <c r="J46" s="11">
        <f>20.71+10.58</f>
        <v>31.29</v>
      </c>
      <c r="K46" s="11">
        <f>334+189.8</f>
        <v>523.79999999999995</v>
      </c>
      <c r="L46" s="4">
        <f t="shared" si="13"/>
        <v>2471.46</v>
      </c>
      <c r="M46" s="4">
        <f t="shared" si="1"/>
        <v>3026.55</v>
      </c>
      <c r="N46" s="53">
        <f t="shared" si="2"/>
        <v>1722.46</v>
      </c>
      <c r="O46" s="60"/>
      <c r="P46" s="61">
        <v>1722.46</v>
      </c>
    </row>
    <row r="47" spans="1:16" x14ac:dyDescent="0.25">
      <c r="A47" s="50" t="s">
        <v>31</v>
      </c>
      <c r="B47" s="44">
        <f>7858.53+1021.61</f>
        <v>8880.14</v>
      </c>
      <c r="C47" s="71"/>
      <c r="D47" s="78"/>
      <c r="E47" s="78"/>
      <c r="F47" s="78"/>
      <c r="G47" s="78"/>
      <c r="H47" s="80">
        <v>5403.95</v>
      </c>
      <c r="I47" s="41">
        <f t="shared" ref="I47:I65" si="14">SUM(B47:H47)</f>
        <v>14284.09</v>
      </c>
      <c r="J47" s="11">
        <v>2810.53</v>
      </c>
      <c r="K47" s="11">
        <v>713.08</v>
      </c>
      <c r="L47" s="4">
        <f t="shared" si="13"/>
        <v>702.80999999999949</v>
      </c>
      <c r="M47" s="4">
        <f t="shared" si="1"/>
        <v>4226.42</v>
      </c>
      <c r="N47" s="53">
        <f t="shared" si="2"/>
        <v>10057.67</v>
      </c>
      <c r="O47" s="60"/>
      <c r="P47" s="61">
        <v>10057.67</v>
      </c>
    </row>
    <row r="48" spans="1:16" x14ac:dyDescent="0.25">
      <c r="A48" s="50" t="s">
        <v>32</v>
      </c>
      <c r="B48" s="44">
        <f>5288.3+1776.87</f>
        <v>7065.17</v>
      </c>
      <c r="C48" s="71">
        <v>2115.3200000000002</v>
      </c>
      <c r="D48" s="78"/>
      <c r="E48" s="78"/>
      <c r="F48" s="78"/>
      <c r="G48" s="78"/>
      <c r="H48" s="80"/>
      <c r="I48" s="41">
        <f t="shared" si="14"/>
        <v>9180.49</v>
      </c>
      <c r="J48" s="11">
        <v>1354.9</v>
      </c>
      <c r="K48" s="11">
        <f>550.64+162.44</f>
        <v>713.07999999999993</v>
      </c>
      <c r="L48" s="4">
        <f>I48-J48-K48-P48</f>
        <v>834.3100000000004</v>
      </c>
      <c r="M48" s="4">
        <f>SUM(J48:L48)</f>
        <v>2902.2900000000004</v>
      </c>
      <c r="N48" s="53">
        <f t="shared" si="2"/>
        <v>6278.1999999999989</v>
      </c>
      <c r="O48" s="60"/>
      <c r="P48" s="61">
        <v>6278.2</v>
      </c>
    </row>
    <row r="49" spans="1:16" x14ac:dyDescent="0.25">
      <c r="A49" s="50" t="s">
        <v>33</v>
      </c>
      <c r="B49" s="44">
        <f>3285.01+512.46</f>
        <v>3797.4700000000003</v>
      </c>
      <c r="C49" s="71">
        <v>657</v>
      </c>
      <c r="D49" s="78"/>
      <c r="E49" s="78">
        <f>328.5+1642.51+256.23+742.41</f>
        <v>2969.6499999999996</v>
      </c>
      <c r="F49" s="78"/>
      <c r="G49" s="78"/>
      <c r="H49" s="80"/>
      <c r="I49" s="41">
        <f t="shared" si="14"/>
        <v>7424.12</v>
      </c>
      <c r="J49" s="11">
        <f>191.23+30.64</f>
        <v>221.87</v>
      </c>
      <c r="K49" s="11">
        <f>435.1+277.98</f>
        <v>713.08</v>
      </c>
      <c r="L49" s="4">
        <f t="shared" si="13"/>
        <v>3131.42</v>
      </c>
      <c r="M49" s="4">
        <f t="shared" si="1"/>
        <v>4066.37</v>
      </c>
      <c r="N49" s="53">
        <f t="shared" si="2"/>
        <v>3357.75</v>
      </c>
      <c r="O49" s="60"/>
      <c r="P49" s="61">
        <v>3357.75</v>
      </c>
    </row>
    <row r="50" spans="1:16" x14ac:dyDescent="0.25">
      <c r="A50" s="50" t="s">
        <v>34</v>
      </c>
      <c r="B50" s="44">
        <f>5414.85+1462.01</f>
        <v>6876.8600000000006</v>
      </c>
      <c r="C50" s="71"/>
      <c r="D50" s="78"/>
      <c r="E50" s="78"/>
      <c r="F50" s="78"/>
      <c r="G50" s="78"/>
      <c r="H50" s="80"/>
      <c r="I50" s="41">
        <f t="shared" si="14"/>
        <v>6876.8600000000006</v>
      </c>
      <c r="J50" s="11">
        <v>773.54</v>
      </c>
      <c r="K50" s="11">
        <v>713.08</v>
      </c>
      <c r="L50" s="4">
        <f t="shared" si="13"/>
        <v>785.47000000000025</v>
      </c>
      <c r="M50" s="4">
        <f t="shared" si="1"/>
        <v>2272.09</v>
      </c>
      <c r="N50" s="53">
        <f>SUM(I50-M50)+G50</f>
        <v>4604.7700000000004</v>
      </c>
      <c r="O50" s="60"/>
      <c r="P50" s="61">
        <v>4604.7700000000004</v>
      </c>
    </row>
    <row r="51" spans="1:16" x14ac:dyDescent="0.25">
      <c r="A51" s="50" t="s">
        <v>35</v>
      </c>
      <c r="B51" s="44">
        <f>4106.27+492.75</f>
        <v>4599.0200000000004</v>
      </c>
      <c r="C51" s="71">
        <v>821.25</v>
      </c>
      <c r="D51" s="78"/>
      <c r="E51" s="78">
        <f>164.25+821.25+98.55+361.35</f>
        <v>1445.4</v>
      </c>
      <c r="F51" s="78"/>
      <c r="G51" s="78"/>
      <c r="H51" s="80"/>
      <c r="I51" s="41">
        <f t="shared" si="14"/>
        <v>6865.67</v>
      </c>
      <c r="J51" s="11">
        <f>418.42+416.28</f>
        <v>834.7</v>
      </c>
      <c r="K51" s="11">
        <v>713.08</v>
      </c>
      <c r="L51" s="4">
        <f t="shared" si="13"/>
        <v>2179.1400000000003</v>
      </c>
      <c r="M51" s="4">
        <f t="shared" si="1"/>
        <v>3726.9200000000005</v>
      </c>
      <c r="N51" s="53">
        <f>SUM(I51-M51)+G51</f>
        <v>3138.7499999999995</v>
      </c>
      <c r="O51" s="60"/>
      <c r="P51" s="61">
        <v>3138.75</v>
      </c>
    </row>
    <row r="52" spans="1:16" x14ac:dyDescent="0.25">
      <c r="A52" s="50" t="s">
        <v>36</v>
      </c>
      <c r="B52" s="44">
        <f>1507.53+165.83</f>
        <v>1673.36</v>
      </c>
      <c r="C52" s="71"/>
      <c r="D52" s="78"/>
      <c r="E52" s="78">
        <f>2261.29+248.74+836.68</f>
        <v>3346.7099999999996</v>
      </c>
      <c r="F52" s="78"/>
      <c r="G52" s="78"/>
      <c r="H52" s="80"/>
      <c r="I52" s="41">
        <f t="shared" si="14"/>
        <v>5020.07</v>
      </c>
      <c r="J52" s="11"/>
      <c r="K52" s="11">
        <f>220.16+341.58</f>
        <v>561.74</v>
      </c>
      <c r="L52" s="4">
        <f t="shared" si="13"/>
        <v>4001.45</v>
      </c>
      <c r="M52" s="4">
        <f t="shared" si="1"/>
        <v>4563.1899999999996</v>
      </c>
      <c r="N52" s="53">
        <f t="shared" si="2"/>
        <v>456.88000000000011</v>
      </c>
      <c r="O52" s="60"/>
      <c r="P52" s="61">
        <v>456.88</v>
      </c>
    </row>
    <row r="53" spans="1:16" x14ac:dyDescent="0.25">
      <c r="A53" s="50" t="s">
        <v>85</v>
      </c>
      <c r="B53" s="44">
        <f>2274.15+159.19</f>
        <v>2433.34</v>
      </c>
      <c r="C53" s="71"/>
      <c r="D53" s="78"/>
      <c r="E53" s="78"/>
      <c r="F53" s="78"/>
      <c r="G53" s="78"/>
      <c r="H53" s="80"/>
      <c r="I53" s="41">
        <f t="shared" si="14"/>
        <v>2433.34</v>
      </c>
      <c r="J53" s="11">
        <v>23.68</v>
      </c>
      <c r="K53" s="11">
        <v>213.63</v>
      </c>
      <c r="L53" s="4">
        <f t="shared" si="13"/>
        <v>28.860000000000127</v>
      </c>
      <c r="M53" s="4">
        <f t="shared" si="1"/>
        <v>266.17000000000013</v>
      </c>
      <c r="N53" s="53">
        <f t="shared" si="2"/>
        <v>2167.17</v>
      </c>
      <c r="O53" s="60"/>
      <c r="P53" s="61">
        <v>2167.17</v>
      </c>
    </row>
    <row r="54" spans="1:16" x14ac:dyDescent="0.25">
      <c r="A54" s="50" t="s">
        <v>38</v>
      </c>
      <c r="B54" s="44">
        <f>12454.51+9465.43</f>
        <v>21919.940000000002</v>
      </c>
      <c r="C54" s="71">
        <v>12454.51</v>
      </c>
      <c r="D54" s="78"/>
      <c r="E54" s="78"/>
      <c r="F54" s="78"/>
      <c r="G54" s="78"/>
      <c r="H54" s="80"/>
      <c r="I54" s="41">
        <f t="shared" si="14"/>
        <v>34374.450000000004</v>
      </c>
      <c r="J54" s="11">
        <v>8387.52</v>
      </c>
      <c r="K54" s="11">
        <v>713.08</v>
      </c>
      <c r="L54" s="4">
        <f t="shared" si="13"/>
        <v>416.66000000000349</v>
      </c>
      <c r="M54" s="4">
        <f t="shared" si="1"/>
        <v>9517.2600000000039</v>
      </c>
      <c r="N54" s="53">
        <f t="shared" si="2"/>
        <v>24857.190000000002</v>
      </c>
      <c r="O54" s="60"/>
      <c r="P54" s="61">
        <v>24857.19</v>
      </c>
    </row>
    <row r="55" spans="1:16" x14ac:dyDescent="0.25">
      <c r="A55" s="50" t="s">
        <v>39</v>
      </c>
      <c r="B55" s="44">
        <f>4927.52+650.43</f>
        <v>5577.9500000000007</v>
      </c>
      <c r="C55" s="71">
        <v>985.5</v>
      </c>
      <c r="D55" s="78"/>
      <c r="E55" s="78"/>
      <c r="F55" s="78"/>
      <c r="G55" s="78"/>
      <c r="H55" s="80"/>
      <c r="I55" s="41">
        <f t="shared" si="14"/>
        <v>6563.4500000000007</v>
      </c>
      <c r="J55" s="11">
        <v>687.35</v>
      </c>
      <c r="K55" s="11">
        <f>37.36+675.72</f>
        <v>713.08</v>
      </c>
      <c r="L55" s="4">
        <f t="shared" si="13"/>
        <v>249.22000000000025</v>
      </c>
      <c r="M55" s="4">
        <f t="shared" si="1"/>
        <v>1649.6500000000003</v>
      </c>
      <c r="N55" s="53">
        <f t="shared" si="2"/>
        <v>4913.8</v>
      </c>
      <c r="O55" s="60"/>
      <c r="P55" s="61">
        <v>4913.8</v>
      </c>
    </row>
    <row r="56" spans="1:16" x14ac:dyDescent="0.25">
      <c r="A56" s="50" t="s">
        <v>40</v>
      </c>
      <c r="B56" s="44">
        <v>5464.66</v>
      </c>
      <c r="C56" s="71"/>
      <c r="D56" s="78"/>
      <c r="E56" s="78"/>
      <c r="F56" s="78"/>
      <c r="G56" s="78"/>
      <c r="H56" s="80"/>
      <c r="I56" s="41">
        <f t="shared" si="14"/>
        <v>5464.66</v>
      </c>
      <c r="J56" s="11">
        <v>410.36</v>
      </c>
      <c r="K56" s="11">
        <v>623.99</v>
      </c>
      <c r="L56" s="4">
        <f t="shared" si="13"/>
        <v>738.40000000000055</v>
      </c>
      <c r="M56" s="4">
        <f t="shared" si="1"/>
        <v>1772.7500000000005</v>
      </c>
      <c r="N56" s="53">
        <f t="shared" si="2"/>
        <v>3691.9099999999994</v>
      </c>
      <c r="O56" s="60"/>
      <c r="P56" s="61">
        <v>3691.91</v>
      </c>
    </row>
    <row r="57" spans="1:16" x14ac:dyDescent="0.25">
      <c r="A57" s="50" t="s">
        <v>70</v>
      </c>
      <c r="B57" s="44">
        <v>1881.14</v>
      </c>
      <c r="C57" s="71"/>
      <c r="D57" s="78"/>
      <c r="E57" s="78"/>
      <c r="F57" s="78"/>
      <c r="G57" s="78"/>
      <c r="H57" s="80"/>
      <c r="I57" s="41">
        <f t="shared" si="14"/>
        <v>1881.14</v>
      </c>
      <c r="J57" s="11"/>
      <c r="K57" s="11">
        <v>153.62</v>
      </c>
      <c r="L57" s="4">
        <f t="shared" ref="L57" si="15">I57-J57-K57-P57</f>
        <v>24.379999999999882</v>
      </c>
      <c r="M57" s="4">
        <f t="shared" ref="M57" si="16">SUM(J57:L57)</f>
        <v>177.99999999999989</v>
      </c>
      <c r="N57" s="53">
        <f t="shared" ref="N57" si="17">SUM(I57-M57)</f>
        <v>1703.1400000000003</v>
      </c>
      <c r="O57" s="60"/>
      <c r="P57" s="61">
        <v>1703.14</v>
      </c>
    </row>
    <row r="58" spans="1:16" x14ac:dyDescent="0.25">
      <c r="A58" s="50" t="s">
        <v>41</v>
      </c>
      <c r="B58" s="44">
        <f>11980.55+4025.46</f>
        <v>16006.009999999998</v>
      </c>
      <c r="C58" s="71">
        <v>2396.11</v>
      </c>
      <c r="D58" s="78"/>
      <c r="E58" s="78"/>
      <c r="F58" s="78"/>
      <c r="G58" s="78"/>
      <c r="H58" s="80"/>
      <c r="I58" s="41">
        <f t="shared" si="14"/>
        <v>18402.12</v>
      </c>
      <c r="J58" s="11">
        <v>3995.13</v>
      </c>
      <c r="K58" s="11">
        <f>249.58+463.5</f>
        <v>713.08</v>
      </c>
      <c r="L58" s="4">
        <f t="shared" si="13"/>
        <v>125.92999999999847</v>
      </c>
      <c r="M58" s="4">
        <f t="shared" si="1"/>
        <v>4834.1399999999985</v>
      </c>
      <c r="N58" s="53">
        <f>SUM(I58-M58)+G58</f>
        <v>13567.98</v>
      </c>
      <c r="O58" s="60"/>
      <c r="P58" s="61">
        <v>13567.98</v>
      </c>
    </row>
    <row r="59" spans="1:16" x14ac:dyDescent="0.25">
      <c r="A59" s="50" t="s">
        <v>42</v>
      </c>
      <c r="B59" s="44">
        <v>2141.12</v>
      </c>
      <c r="C59" s="71"/>
      <c r="D59" s="78"/>
      <c r="E59" s="78"/>
      <c r="F59" s="78"/>
      <c r="G59" s="78"/>
      <c r="H59" s="80"/>
      <c r="I59" s="41">
        <f t="shared" si="14"/>
        <v>2141.12</v>
      </c>
      <c r="J59" s="11"/>
      <c r="K59" s="11">
        <v>178.56</v>
      </c>
      <c r="L59" s="4">
        <f t="shared" si="13"/>
        <v>35.549999999999955</v>
      </c>
      <c r="M59" s="4">
        <f t="shared" si="1"/>
        <v>214.10999999999996</v>
      </c>
      <c r="N59" s="53">
        <f t="shared" si="2"/>
        <v>1927.01</v>
      </c>
      <c r="O59" s="60"/>
      <c r="P59" s="61">
        <v>1927.01</v>
      </c>
    </row>
    <row r="60" spans="1:16" x14ac:dyDescent="0.25">
      <c r="A60" s="50" t="s">
        <v>43</v>
      </c>
      <c r="B60" s="44">
        <f>3491.92+698.38</f>
        <v>4190.3</v>
      </c>
      <c r="C60" s="71"/>
      <c r="D60" s="78"/>
      <c r="E60" s="78"/>
      <c r="F60" s="78"/>
      <c r="G60" s="78"/>
      <c r="H60" s="80"/>
      <c r="I60" s="41">
        <f t="shared" si="14"/>
        <v>4190.3</v>
      </c>
      <c r="J60" s="11">
        <v>206.91</v>
      </c>
      <c r="K60" s="11">
        <v>445.58</v>
      </c>
      <c r="L60" s="4">
        <f t="shared" si="13"/>
        <v>1017.7500000000005</v>
      </c>
      <c r="M60" s="4">
        <f t="shared" si="1"/>
        <v>1670.2400000000005</v>
      </c>
      <c r="N60" s="53">
        <f t="shared" si="2"/>
        <v>2520.0599999999995</v>
      </c>
      <c r="O60" s="60"/>
      <c r="P60" s="61">
        <v>2520.06</v>
      </c>
    </row>
    <row r="61" spans="1:16" x14ac:dyDescent="0.25">
      <c r="A61" s="50" t="s">
        <v>44</v>
      </c>
      <c r="B61" s="44">
        <f>10377.23+3860.33</f>
        <v>14237.56</v>
      </c>
      <c r="C61" s="71">
        <v>2075.4499999999998</v>
      </c>
      <c r="D61" s="78"/>
      <c r="E61" s="78"/>
      <c r="F61" s="78"/>
      <c r="G61" s="78"/>
      <c r="H61" s="80"/>
      <c r="I61" s="41">
        <f t="shared" si="14"/>
        <v>16313.009999999998</v>
      </c>
      <c r="J61" s="11">
        <v>3316.35</v>
      </c>
      <c r="K61" s="11">
        <v>713.08</v>
      </c>
      <c r="L61" s="4">
        <f t="shared" si="13"/>
        <v>1409.8199999999979</v>
      </c>
      <c r="M61" s="4">
        <f t="shared" si="1"/>
        <v>5439.2499999999982</v>
      </c>
      <c r="N61" s="53">
        <f>SUM(I61-M61)+G61</f>
        <v>10873.76</v>
      </c>
      <c r="O61" s="60"/>
      <c r="P61" s="61">
        <v>10873.76</v>
      </c>
    </row>
    <row r="62" spans="1:16" x14ac:dyDescent="0.25">
      <c r="A62" s="50" t="s">
        <v>45</v>
      </c>
      <c r="B62" s="44">
        <v>4993.3999999999996</v>
      </c>
      <c r="C62" s="71"/>
      <c r="D62" s="78"/>
      <c r="E62" s="78"/>
      <c r="F62" s="78"/>
      <c r="G62" s="78"/>
      <c r="H62" s="80"/>
      <c r="I62" s="41">
        <f t="shared" si="14"/>
        <v>4993.3999999999996</v>
      </c>
      <c r="J62" s="11">
        <v>319.18</v>
      </c>
      <c r="K62" s="11">
        <v>558.01</v>
      </c>
      <c r="L62" s="4">
        <f t="shared" si="13"/>
        <v>2340.1999999999989</v>
      </c>
      <c r="M62" s="4">
        <f t="shared" si="1"/>
        <v>3217.389999999999</v>
      </c>
      <c r="N62" s="53">
        <f t="shared" si="2"/>
        <v>1776.0100000000007</v>
      </c>
      <c r="O62" s="60"/>
      <c r="P62" s="61">
        <v>1776.01</v>
      </c>
    </row>
    <row r="63" spans="1:16" x14ac:dyDescent="0.25">
      <c r="A63" s="50" t="s">
        <v>46</v>
      </c>
      <c r="B63" s="44">
        <v>2008.02</v>
      </c>
      <c r="C63" s="71"/>
      <c r="D63" s="78"/>
      <c r="E63" s="78"/>
      <c r="F63" s="78"/>
      <c r="G63" s="78"/>
      <c r="H63" s="80"/>
      <c r="I63" s="41">
        <f t="shared" si="14"/>
        <v>2008.02</v>
      </c>
      <c r="J63" s="11"/>
      <c r="K63" s="11">
        <v>165.04</v>
      </c>
      <c r="L63" s="4">
        <f t="shared" si="13"/>
        <v>66.970000000000027</v>
      </c>
      <c r="M63" s="4">
        <f t="shared" si="1"/>
        <v>232.01000000000002</v>
      </c>
      <c r="N63" s="53">
        <f t="shared" si="2"/>
        <v>1776.01</v>
      </c>
      <c r="O63" s="60"/>
      <c r="P63" s="61">
        <v>1776.01</v>
      </c>
    </row>
    <row r="64" spans="1:16" x14ac:dyDescent="0.25">
      <c r="A64" s="50" t="s">
        <v>86</v>
      </c>
      <c r="B64" s="44">
        <v>4033.32</v>
      </c>
      <c r="C64" s="71"/>
      <c r="D64" s="78"/>
      <c r="E64" s="78"/>
      <c r="F64" s="78"/>
      <c r="G64" s="78"/>
      <c r="H64" s="80"/>
      <c r="I64" s="41">
        <f t="shared" si="14"/>
        <v>4033.32</v>
      </c>
      <c r="J64" s="11">
        <v>186.66</v>
      </c>
      <c r="K64" s="11">
        <v>423.6</v>
      </c>
      <c r="L64" s="4">
        <f t="shared" ref="L64" si="18">I64-J64-K64-P64</f>
        <v>46.050000000000182</v>
      </c>
      <c r="M64" s="4">
        <f t="shared" ref="M64" si="19">SUM(J64:L64)</f>
        <v>656.31000000000017</v>
      </c>
      <c r="N64" s="53">
        <f t="shared" ref="N64" si="20">SUM(I64-M64)</f>
        <v>3377.01</v>
      </c>
      <c r="O64" s="60"/>
      <c r="P64" s="61">
        <v>3377.01</v>
      </c>
    </row>
    <row r="65" spans="1:16" x14ac:dyDescent="0.25">
      <c r="A65" s="50" t="s">
        <v>84</v>
      </c>
      <c r="B65" s="44">
        <f>1755.42+17.55</f>
        <v>1772.97</v>
      </c>
      <c r="C65" s="71"/>
      <c r="D65" s="78"/>
      <c r="E65" s="78"/>
      <c r="F65" s="78"/>
      <c r="G65" s="78"/>
      <c r="H65" s="80"/>
      <c r="I65" s="41">
        <f t="shared" si="14"/>
        <v>1772.97</v>
      </c>
      <c r="J65" s="11"/>
      <c r="K65" s="11">
        <v>143.88</v>
      </c>
      <c r="L65" s="4">
        <f t="shared" ref="L65" si="21">I65-J65-K65-P65</f>
        <v>148.96000000000004</v>
      </c>
      <c r="M65" s="4">
        <f t="shared" ref="M65" si="22">SUM(J65:L65)</f>
        <v>292.84000000000003</v>
      </c>
      <c r="N65" s="53">
        <f t="shared" ref="N65" si="23">SUM(I65-M65)</f>
        <v>1480.13</v>
      </c>
      <c r="O65" s="60"/>
      <c r="P65" s="61">
        <v>1480.13</v>
      </c>
    </row>
    <row r="66" spans="1:16" ht="15.75" thickBot="1" x14ac:dyDescent="0.3">
      <c r="A66" s="51" t="s">
        <v>47</v>
      </c>
      <c r="B66" s="46">
        <f>8015.71+1058.07</f>
        <v>9073.7800000000007</v>
      </c>
      <c r="C66" s="75">
        <v>1603.14</v>
      </c>
      <c r="D66" s="81"/>
      <c r="E66" s="81"/>
      <c r="F66" s="81"/>
      <c r="G66" s="81"/>
      <c r="H66" s="82">
        <v>5403.94</v>
      </c>
      <c r="I66" s="42">
        <f>SUM(B66:H66)</f>
        <v>16080.86</v>
      </c>
      <c r="J66" s="38">
        <v>3304.64</v>
      </c>
      <c r="K66" s="38">
        <v>713.08</v>
      </c>
      <c r="L66" s="39">
        <f t="shared" si="13"/>
        <v>147.84000000000196</v>
      </c>
      <c r="M66" s="39">
        <f t="shared" si="1"/>
        <v>4165.5600000000013</v>
      </c>
      <c r="N66" s="54">
        <f t="shared" si="2"/>
        <v>11915.3</v>
      </c>
      <c r="O66" s="60"/>
      <c r="P66" s="61">
        <v>11915.3</v>
      </c>
    </row>
    <row r="67" spans="1:16" ht="15.75" thickBot="1" x14ac:dyDescent="0.3">
      <c r="A67" s="103"/>
      <c r="B67" s="103"/>
      <c r="C67" s="103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03"/>
    </row>
    <row r="68" spans="1:16" x14ac:dyDescent="0.25">
      <c r="A68" s="92" t="s">
        <v>98</v>
      </c>
      <c r="B68" s="93"/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4"/>
    </row>
    <row r="69" spans="1:16" x14ac:dyDescent="0.25">
      <c r="A69" s="106" t="s">
        <v>96</v>
      </c>
      <c r="B69" s="107"/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8"/>
    </row>
    <row r="70" spans="1:16" ht="5.25" customHeight="1" x14ac:dyDescent="0.25">
      <c r="A70" s="109"/>
      <c r="B70" s="110"/>
      <c r="C70" s="11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1"/>
    </row>
    <row r="71" spans="1:16" x14ac:dyDescent="0.25">
      <c r="A71" s="112" t="s">
        <v>97</v>
      </c>
      <c r="B71" s="113"/>
      <c r="C71" s="113"/>
      <c r="D71" s="113"/>
      <c r="E71" s="113"/>
      <c r="F71" s="113"/>
      <c r="G71" s="113"/>
      <c r="H71" s="113"/>
      <c r="I71" s="113"/>
      <c r="J71" s="113"/>
      <c r="K71" s="113"/>
      <c r="L71" s="113"/>
      <c r="M71" s="113"/>
      <c r="N71" s="114"/>
    </row>
    <row r="72" spans="1:16" x14ac:dyDescent="0.25">
      <c r="A72" s="115" t="s">
        <v>92</v>
      </c>
      <c r="B72" s="116"/>
      <c r="C72" s="116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7"/>
    </row>
    <row r="73" spans="1:16" x14ac:dyDescent="0.25">
      <c r="A73" s="115" t="s">
        <v>93</v>
      </c>
      <c r="B73" s="116"/>
      <c r="C73" s="116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7"/>
    </row>
    <row r="74" spans="1:16" x14ac:dyDescent="0.25">
      <c r="A74" s="115" t="s">
        <v>94</v>
      </c>
      <c r="B74" s="116"/>
      <c r="C74" s="116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7"/>
    </row>
    <row r="75" spans="1:16" ht="15.75" thickBot="1" x14ac:dyDescent="0.3">
      <c r="A75" s="89" t="s">
        <v>95</v>
      </c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1"/>
    </row>
    <row r="76" spans="1:16" x14ac:dyDescent="0.25">
      <c r="A76" s="62"/>
      <c r="B76" s="62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</row>
    <row r="77" spans="1:16" x14ac:dyDescent="0.25">
      <c r="A77" s="25"/>
      <c r="B77" s="17"/>
      <c r="C77" s="65"/>
      <c r="D77" s="17"/>
      <c r="E77" s="65"/>
      <c r="F77" s="65"/>
      <c r="G77" s="17"/>
      <c r="H77" s="17"/>
      <c r="I77" s="17"/>
      <c r="J77" s="17"/>
      <c r="K77" s="17"/>
      <c r="L77" s="17"/>
      <c r="M77" s="17"/>
      <c r="N77" s="17"/>
    </row>
    <row r="78" spans="1:16" ht="15.75" thickBot="1" x14ac:dyDescent="0.3">
      <c r="A78" s="18"/>
      <c r="B78" s="17"/>
      <c r="C78" s="65"/>
      <c r="D78" s="17"/>
      <c r="E78" s="65"/>
      <c r="F78" s="65"/>
      <c r="G78" s="17"/>
      <c r="H78" s="17"/>
      <c r="I78" s="17"/>
      <c r="J78" s="17"/>
      <c r="K78" s="17"/>
      <c r="L78" s="17"/>
      <c r="M78" s="17"/>
      <c r="N78" s="17"/>
    </row>
    <row r="79" spans="1:16" ht="15.75" x14ac:dyDescent="0.25">
      <c r="A79" s="20"/>
      <c r="B79" s="20"/>
      <c r="C79" s="20"/>
      <c r="D79" s="20"/>
      <c r="E79" s="20"/>
      <c r="F79" s="20"/>
      <c r="G79" s="20"/>
      <c r="H79" s="20"/>
      <c r="I79" s="29" t="s">
        <v>76</v>
      </c>
      <c r="J79" s="30" t="s">
        <v>77</v>
      </c>
      <c r="K79" s="30" t="s">
        <v>53</v>
      </c>
      <c r="L79" s="83" t="s">
        <v>78</v>
      </c>
      <c r="M79" s="84"/>
    </row>
    <row r="80" spans="1:16" x14ac:dyDescent="0.25">
      <c r="A80" s="13"/>
      <c r="B80" s="13"/>
      <c r="C80" s="13"/>
      <c r="D80" s="13"/>
      <c r="E80" s="13"/>
      <c r="F80" s="13"/>
      <c r="G80" s="13"/>
      <c r="H80" s="13"/>
      <c r="I80" s="31">
        <f>SUM(I7:I42)</f>
        <v>344477.5500000001</v>
      </c>
      <c r="J80" s="32">
        <f>SUM(J7:J42)</f>
        <v>53206.929999999993</v>
      </c>
      <c r="K80" s="32">
        <f>SUM(K7:K42)</f>
        <v>19402.870000000003</v>
      </c>
      <c r="L80" s="85">
        <f>SUM(N7:N42)</f>
        <v>215929.33</v>
      </c>
      <c r="M80" s="86"/>
    </row>
    <row r="81" spans="1:14" x14ac:dyDescent="0.25">
      <c r="A81" s="13"/>
      <c r="B81" s="13"/>
      <c r="C81" s="13"/>
      <c r="D81" s="13"/>
      <c r="E81" s="13"/>
      <c r="F81" s="13"/>
      <c r="G81" s="13"/>
      <c r="H81" s="13"/>
      <c r="I81" s="31">
        <f>SUM(I45:I66)</f>
        <v>177121.76999999996</v>
      </c>
      <c r="J81" s="32">
        <f>SUM(J45:J66)</f>
        <v>26864.61</v>
      </c>
      <c r="K81" s="32">
        <f>SUM(K45:K66)</f>
        <v>11292.800000000001</v>
      </c>
      <c r="L81" s="85">
        <f>SUM(N45:N66)</f>
        <v>117307.15999999997</v>
      </c>
      <c r="M81" s="86"/>
    </row>
    <row r="82" spans="1:14" ht="16.5" thickBot="1" x14ac:dyDescent="0.3">
      <c r="A82" s="13"/>
      <c r="B82" s="13"/>
      <c r="C82" s="13"/>
      <c r="D82" s="13"/>
      <c r="E82" s="13"/>
      <c r="F82" s="13"/>
      <c r="G82" s="7"/>
      <c r="H82" s="13"/>
      <c r="I82" s="33">
        <f>SUM(I80:I81)</f>
        <v>521599.32000000007</v>
      </c>
      <c r="J82" s="34">
        <f>SUM(J80:J81)</f>
        <v>80071.539999999994</v>
      </c>
      <c r="K82" s="34">
        <f>SUM(K80:K81)</f>
        <v>30695.670000000006</v>
      </c>
      <c r="L82" s="87">
        <f>SUM(L80:L81)</f>
        <v>333236.49</v>
      </c>
      <c r="M82" s="88"/>
    </row>
    <row r="83" spans="1:14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</row>
    <row r="84" spans="1:14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</row>
  </sheetData>
  <mergeCells count="30">
    <mergeCell ref="A1:N1"/>
    <mergeCell ref="A2:N2"/>
    <mergeCell ref="A3:N3"/>
    <mergeCell ref="A5:A6"/>
    <mergeCell ref="B5:B6"/>
    <mergeCell ref="J5:J6"/>
    <mergeCell ref="K5:K6"/>
    <mergeCell ref="D5:D6"/>
    <mergeCell ref="C5:C6"/>
    <mergeCell ref="E5:E6"/>
    <mergeCell ref="A69:N69"/>
    <mergeCell ref="A70:N70"/>
    <mergeCell ref="A71:N71"/>
    <mergeCell ref="A72:N72"/>
    <mergeCell ref="A74:N74"/>
    <mergeCell ref="A73:N73"/>
    <mergeCell ref="A68:N68"/>
    <mergeCell ref="A43:A44"/>
    <mergeCell ref="B43:B44"/>
    <mergeCell ref="J43:J44"/>
    <mergeCell ref="K43:K44"/>
    <mergeCell ref="D43:D44"/>
    <mergeCell ref="A67:N67"/>
    <mergeCell ref="C43:C44"/>
    <mergeCell ref="E43:E44"/>
    <mergeCell ref="L79:M79"/>
    <mergeCell ref="L80:M80"/>
    <mergeCell ref="L81:M81"/>
    <mergeCell ref="L82:M82"/>
    <mergeCell ref="A75:N75"/>
  </mergeCells>
  <pageMargins left="0.25" right="0.25" top="0.75" bottom="0.75" header="0.3" footer="0.3"/>
  <pageSetup paperSize="9" scale="62" orientation="landscape" r:id="rId1"/>
  <rowBreaks count="1" manualBreakCount="1">
    <brk id="42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8C082-6D77-4281-A0E2-257EB95D9B43}">
  <dimension ref="A1:L80"/>
  <sheetViews>
    <sheetView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16" sqref="B16"/>
    </sheetView>
  </sheetViews>
  <sheetFormatPr defaultRowHeight="15" x14ac:dyDescent="0.25"/>
  <cols>
    <col min="1" max="1" width="48.5703125" customWidth="1"/>
    <col min="2" max="2" width="14.7109375" customWidth="1"/>
    <col min="3" max="3" width="13.5703125" customWidth="1"/>
    <col min="4" max="4" width="14.140625" customWidth="1"/>
    <col min="5" max="5" width="11.5703125" customWidth="1"/>
    <col min="6" max="6" width="10.7109375" customWidth="1"/>
    <col min="7" max="8" width="10.42578125" customWidth="1"/>
    <col min="9" max="9" width="16.42578125" customWidth="1"/>
    <col min="10" max="10" width="3.7109375" customWidth="1"/>
    <col min="11" max="11" width="14.28515625" bestFit="1" customWidth="1"/>
  </cols>
  <sheetData>
    <row r="1" spans="1:12" x14ac:dyDescent="0.25">
      <c r="A1" s="120" t="s">
        <v>59</v>
      </c>
      <c r="B1" s="120"/>
      <c r="C1" s="120"/>
      <c r="D1" s="120"/>
      <c r="E1" s="120"/>
      <c r="F1" s="120"/>
      <c r="G1" s="120"/>
      <c r="H1" s="120"/>
      <c r="I1" s="120"/>
    </row>
    <row r="2" spans="1:12" x14ac:dyDescent="0.25">
      <c r="A2" s="120" t="s">
        <v>60</v>
      </c>
      <c r="B2" s="120"/>
      <c r="C2" s="120"/>
      <c r="D2" s="120"/>
      <c r="E2" s="120"/>
      <c r="F2" s="120"/>
      <c r="G2" s="120"/>
      <c r="H2" s="120"/>
      <c r="I2" s="120"/>
    </row>
    <row r="3" spans="1:12" ht="4.5" customHeight="1" x14ac:dyDescent="0.25">
      <c r="A3" s="121"/>
      <c r="B3" s="121"/>
      <c r="C3" s="121"/>
      <c r="D3" s="121"/>
      <c r="E3" s="121"/>
      <c r="F3" s="121"/>
      <c r="G3" s="121"/>
      <c r="H3" s="121"/>
      <c r="I3" s="121"/>
    </row>
    <row r="4" spans="1:12" ht="16.5" thickBot="1" x14ac:dyDescent="0.3">
      <c r="A4" s="22" t="s">
        <v>81</v>
      </c>
      <c r="B4" s="21"/>
      <c r="C4" s="21"/>
      <c r="D4" s="21"/>
      <c r="E4" s="21"/>
      <c r="F4" s="21"/>
      <c r="G4" s="21"/>
      <c r="H4" s="21"/>
      <c r="I4" s="21"/>
    </row>
    <row r="5" spans="1:12" x14ac:dyDescent="0.25">
      <c r="A5" s="122" t="s">
        <v>58</v>
      </c>
      <c r="B5" s="124" t="s">
        <v>48</v>
      </c>
      <c r="C5" s="124" t="s">
        <v>80</v>
      </c>
      <c r="D5" s="5" t="s">
        <v>50</v>
      </c>
      <c r="E5" s="124" t="s">
        <v>52</v>
      </c>
      <c r="F5" s="124" t="s">
        <v>53</v>
      </c>
      <c r="G5" s="5" t="s">
        <v>54</v>
      </c>
      <c r="H5" s="5" t="s">
        <v>56</v>
      </c>
      <c r="I5" s="5" t="s">
        <v>50</v>
      </c>
    </row>
    <row r="6" spans="1:12" ht="15.75" thickBot="1" x14ac:dyDescent="0.3">
      <c r="A6" s="123"/>
      <c r="B6" s="125"/>
      <c r="C6" s="125"/>
      <c r="D6" s="6" t="s">
        <v>51</v>
      </c>
      <c r="E6" s="125"/>
      <c r="F6" s="125"/>
      <c r="G6" s="6" t="s">
        <v>55</v>
      </c>
      <c r="H6" s="6" t="s">
        <v>55</v>
      </c>
      <c r="I6" s="6" t="s">
        <v>57</v>
      </c>
    </row>
    <row r="7" spans="1:12" x14ac:dyDescent="0.25">
      <c r="A7" t="s">
        <v>0</v>
      </c>
      <c r="B7" s="7">
        <v>17790.560000000001</v>
      </c>
      <c r="C7" s="7"/>
      <c r="D7" s="3">
        <f t="shared" ref="D7:D41" si="0">SUM(B7:C7)</f>
        <v>17790.560000000001</v>
      </c>
      <c r="E7" s="10">
        <v>3800.12</v>
      </c>
      <c r="F7" s="10">
        <v>621.03</v>
      </c>
      <c r="G7" s="4">
        <f t="shared" ref="G7:G12" si="1">D7-E7-F7-K7</f>
        <v>8586.9100000000017</v>
      </c>
      <c r="H7" s="3">
        <f>SUM(E7:G7)</f>
        <v>13008.060000000001</v>
      </c>
      <c r="I7" s="15">
        <f>SUM(D7-H7)</f>
        <v>4782.5</v>
      </c>
      <c r="K7" s="12">
        <v>4782.5</v>
      </c>
    </row>
    <row r="8" spans="1:12" x14ac:dyDescent="0.25">
      <c r="A8" s="2" t="s">
        <v>1</v>
      </c>
      <c r="B8" s="8">
        <v>4767.3100000000004</v>
      </c>
      <c r="C8" s="8">
        <v>6.94</v>
      </c>
      <c r="D8" s="4">
        <f t="shared" si="0"/>
        <v>4774.25</v>
      </c>
      <c r="E8" s="11">
        <v>319.91000000000003</v>
      </c>
      <c r="F8" s="11">
        <v>525.16</v>
      </c>
      <c r="G8" s="4">
        <f t="shared" si="1"/>
        <v>2314.4500000000003</v>
      </c>
      <c r="H8" s="4">
        <f t="shared" ref="H8:H63" si="2">SUM(E8:G8)</f>
        <v>3159.5200000000004</v>
      </c>
      <c r="I8" s="16">
        <f t="shared" ref="I8:I63" si="3">SUM(D8-H8)</f>
        <v>1614.7299999999996</v>
      </c>
      <c r="K8" s="12">
        <v>1614.73</v>
      </c>
    </row>
    <row r="9" spans="1:12" x14ac:dyDescent="0.25">
      <c r="A9" s="2" t="s">
        <v>2</v>
      </c>
      <c r="B9" s="8">
        <v>2144.31</v>
      </c>
      <c r="C9" s="8"/>
      <c r="D9" s="4">
        <f t="shared" si="0"/>
        <v>2144.31</v>
      </c>
      <c r="E9" s="11"/>
      <c r="F9" s="11">
        <v>192.98</v>
      </c>
      <c r="G9" s="4">
        <f t="shared" si="1"/>
        <v>1051.1399999999999</v>
      </c>
      <c r="H9" s="4">
        <f t="shared" si="2"/>
        <v>1244.1199999999999</v>
      </c>
      <c r="I9" s="16">
        <f t="shared" si="3"/>
        <v>900.19</v>
      </c>
      <c r="K9" s="12">
        <v>900.19</v>
      </c>
    </row>
    <row r="10" spans="1:12" x14ac:dyDescent="0.25">
      <c r="A10" s="2" t="s">
        <v>72</v>
      </c>
      <c r="B10" s="8">
        <v>1379.87</v>
      </c>
      <c r="C10" s="8"/>
      <c r="D10" s="4">
        <f t="shared" si="0"/>
        <v>1379.87</v>
      </c>
      <c r="E10" s="11"/>
      <c r="F10" s="11">
        <v>110.38</v>
      </c>
      <c r="G10" s="4">
        <f t="shared" si="1"/>
        <v>676.40999999999974</v>
      </c>
      <c r="H10" s="4">
        <f t="shared" si="2"/>
        <v>786.78999999999974</v>
      </c>
      <c r="I10" s="16">
        <f t="shared" si="3"/>
        <v>593.08000000000015</v>
      </c>
      <c r="K10" s="12">
        <v>593.08000000000004</v>
      </c>
    </row>
    <row r="11" spans="1:12" x14ac:dyDescent="0.25">
      <c r="A11" s="2" t="s">
        <v>3</v>
      </c>
      <c r="B11" s="8">
        <v>2371.8200000000002</v>
      </c>
      <c r="C11" s="8"/>
      <c r="D11" s="4">
        <f t="shared" si="0"/>
        <v>2371.8200000000002</v>
      </c>
      <c r="E11" s="11"/>
      <c r="F11" s="11">
        <v>213.46</v>
      </c>
      <c r="G11" s="4">
        <f t="shared" si="1"/>
        <v>1134.3000000000002</v>
      </c>
      <c r="H11" s="4">
        <f t="shared" si="2"/>
        <v>1347.7600000000002</v>
      </c>
      <c r="I11" s="16">
        <f>SUM(D11-H11)</f>
        <v>1024.06</v>
      </c>
      <c r="K11" s="12">
        <v>1024.06</v>
      </c>
      <c r="L11" s="1"/>
    </row>
    <row r="12" spans="1:12" x14ac:dyDescent="0.25">
      <c r="A12" s="2" t="s">
        <v>4</v>
      </c>
      <c r="B12" s="8">
        <v>3227.12</v>
      </c>
      <c r="C12" s="8"/>
      <c r="D12" s="4">
        <f t="shared" si="0"/>
        <v>3227.12</v>
      </c>
      <c r="E12" s="11">
        <v>58.39</v>
      </c>
      <c r="F12" s="11">
        <v>354.98</v>
      </c>
      <c r="G12" s="4">
        <f t="shared" si="1"/>
        <v>1568.96</v>
      </c>
      <c r="H12" s="4">
        <f t="shared" si="2"/>
        <v>1982.33</v>
      </c>
      <c r="I12" s="16">
        <f t="shared" si="3"/>
        <v>1244.79</v>
      </c>
      <c r="K12" s="12">
        <v>1244.79</v>
      </c>
    </row>
    <row r="13" spans="1:12" x14ac:dyDescent="0.25">
      <c r="A13" s="2" t="s">
        <v>5</v>
      </c>
      <c r="B13" s="8">
        <v>21406.43</v>
      </c>
      <c r="C13" s="8">
        <v>62.5</v>
      </c>
      <c r="D13" s="4">
        <f t="shared" si="0"/>
        <v>21468.93</v>
      </c>
      <c r="E13" s="11">
        <v>4846.62</v>
      </c>
      <c r="F13" s="11">
        <v>621.03</v>
      </c>
      <c r="G13" s="4">
        <f>D13-E13-F13-K13</f>
        <v>10525.220000000001</v>
      </c>
      <c r="H13" s="4">
        <f t="shared" si="2"/>
        <v>15992.87</v>
      </c>
      <c r="I13" s="16">
        <f t="shared" si="3"/>
        <v>5476.0599999999995</v>
      </c>
      <c r="K13" s="12">
        <v>5476.06</v>
      </c>
    </row>
    <row r="14" spans="1:12" x14ac:dyDescent="0.25">
      <c r="A14" s="2" t="s">
        <v>6</v>
      </c>
      <c r="B14" s="8">
        <v>14333.13</v>
      </c>
      <c r="C14" s="8">
        <v>4.17</v>
      </c>
      <c r="D14" s="4">
        <f t="shared" si="0"/>
        <v>14337.3</v>
      </c>
      <c r="E14" s="11">
        <v>2849.33</v>
      </c>
      <c r="F14" s="11">
        <v>621.03</v>
      </c>
      <c r="G14" s="4">
        <f t="shared" ref="G14:G41" si="4">D14-E14-F14-K14</f>
        <v>7028.1699999999983</v>
      </c>
      <c r="H14" s="4">
        <f t="shared" si="2"/>
        <v>10498.529999999999</v>
      </c>
      <c r="I14" s="16">
        <f t="shared" si="3"/>
        <v>3838.7700000000004</v>
      </c>
      <c r="K14" s="12">
        <v>3838.77</v>
      </c>
    </row>
    <row r="15" spans="1:12" x14ac:dyDescent="0.25">
      <c r="A15" s="2" t="s">
        <v>7</v>
      </c>
      <c r="B15" s="8">
        <v>18096.18</v>
      </c>
      <c r="C15" s="8"/>
      <c r="D15" s="4">
        <f t="shared" si="0"/>
        <v>18096.18</v>
      </c>
      <c r="E15" s="11">
        <v>3884.16</v>
      </c>
      <c r="F15" s="11">
        <v>621.03</v>
      </c>
      <c r="G15" s="4">
        <f t="shared" si="4"/>
        <v>8870.68</v>
      </c>
      <c r="H15" s="4">
        <f t="shared" si="2"/>
        <v>13375.869999999999</v>
      </c>
      <c r="I15" s="16">
        <f t="shared" si="3"/>
        <v>4720.3100000000013</v>
      </c>
      <c r="K15" s="12">
        <v>4720.3100000000004</v>
      </c>
    </row>
    <row r="16" spans="1:12" x14ac:dyDescent="0.25">
      <c r="A16" s="2" t="s">
        <v>8</v>
      </c>
      <c r="B16" s="8">
        <v>2164.9299999999998</v>
      </c>
      <c r="C16" s="8"/>
      <c r="D16" s="4">
        <f t="shared" si="0"/>
        <v>2164.9299999999998</v>
      </c>
      <c r="E16" s="11"/>
      <c r="F16" s="11">
        <v>194.84</v>
      </c>
      <c r="G16" s="4">
        <f t="shared" si="4"/>
        <v>1044.94</v>
      </c>
      <c r="H16" s="4">
        <f t="shared" si="2"/>
        <v>1239.78</v>
      </c>
      <c r="I16" s="16">
        <f t="shared" si="3"/>
        <v>925.14999999999986</v>
      </c>
      <c r="K16" s="12">
        <v>925.15</v>
      </c>
    </row>
    <row r="17" spans="1:11" x14ac:dyDescent="0.25">
      <c r="A17" s="2" t="s">
        <v>9</v>
      </c>
      <c r="B17" s="8">
        <v>2002.72</v>
      </c>
      <c r="C17" s="8"/>
      <c r="D17" s="4">
        <f t="shared" si="0"/>
        <v>2002.72</v>
      </c>
      <c r="E17" s="11"/>
      <c r="F17" s="11">
        <v>180.24</v>
      </c>
      <c r="G17" s="4">
        <f t="shared" si="4"/>
        <v>958.86</v>
      </c>
      <c r="H17" s="4">
        <f t="shared" si="2"/>
        <v>1139.0999999999999</v>
      </c>
      <c r="I17" s="16">
        <f t="shared" si="3"/>
        <v>863.62000000000012</v>
      </c>
      <c r="K17" s="12">
        <v>863.62</v>
      </c>
    </row>
    <row r="18" spans="1:11" x14ac:dyDescent="0.25">
      <c r="A18" s="2" t="s">
        <v>79</v>
      </c>
      <c r="B18" s="8">
        <v>135.28</v>
      </c>
      <c r="C18" s="8"/>
      <c r="D18" s="4">
        <f t="shared" si="0"/>
        <v>135.28</v>
      </c>
      <c r="E18" s="11"/>
      <c r="F18" s="11">
        <v>10.82</v>
      </c>
      <c r="G18" s="4">
        <f t="shared" si="4"/>
        <v>0</v>
      </c>
      <c r="H18" s="4">
        <f t="shared" ref="H18" si="5">SUM(E18:G18)</f>
        <v>10.82</v>
      </c>
      <c r="I18" s="16">
        <f t="shared" si="3"/>
        <v>124.46000000000001</v>
      </c>
      <c r="K18" s="12">
        <v>124.46</v>
      </c>
    </row>
    <row r="19" spans="1:11" x14ac:dyDescent="0.25">
      <c r="A19" s="2" t="s">
        <v>10</v>
      </c>
      <c r="B19" s="8">
        <v>6124.4</v>
      </c>
      <c r="C19" s="8"/>
      <c r="D19" s="4">
        <f t="shared" si="0"/>
        <v>6124.4</v>
      </c>
      <c r="E19" s="11">
        <v>539.79</v>
      </c>
      <c r="F19" s="11">
        <v>621.03</v>
      </c>
      <c r="G19" s="4">
        <f t="shared" si="4"/>
        <v>2917.01</v>
      </c>
      <c r="H19" s="4">
        <f t="shared" si="2"/>
        <v>4077.83</v>
      </c>
      <c r="I19" s="16">
        <f t="shared" si="3"/>
        <v>2046.5699999999997</v>
      </c>
      <c r="K19" s="12">
        <v>2046.57</v>
      </c>
    </row>
    <row r="20" spans="1:11" x14ac:dyDescent="0.25">
      <c r="A20" s="2" t="s">
        <v>11</v>
      </c>
      <c r="B20" s="8">
        <v>2185.5500000000002</v>
      </c>
      <c r="C20" s="8"/>
      <c r="D20" s="4">
        <f t="shared" si="0"/>
        <v>2185.5500000000002</v>
      </c>
      <c r="E20" s="11"/>
      <c r="F20" s="11">
        <v>196.69</v>
      </c>
      <c r="G20" s="4">
        <f t="shared" si="4"/>
        <v>1071.3500000000001</v>
      </c>
      <c r="H20" s="4">
        <f t="shared" si="2"/>
        <v>1268.0400000000002</v>
      </c>
      <c r="I20" s="16">
        <f t="shared" si="3"/>
        <v>917.51</v>
      </c>
      <c r="K20" s="12">
        <v>917.51</v>
      </c>
    </row>
    <row r="21" spans="1:11" x14ac:dyDescent="0.25">
      <c r="A21" s="2" t="s">
        <v>12</v>
      </c>
      <c r="B21" s="8">
        <v>33763</v>
      </c>
      <c r="C21" s="8"/>
      <c r="D21" s="4">
        <f t="shared" si="0"/>
        <v>33763</v>
      </c>
      <c r="E21" s="11">
        <v>8244.68</v>
      </c>
      <c r="F21" s="11">
        <v>621.03</v>
      </c>
      <c r="G21" s="4">
        <f t="shared" si="4"/>
        <v>16749.52</v>
      </c>
      <c r="H21" s="4">
        <f t="shared" si="2"/>
        <v>25615.230000000003</v>
      </c>
      <c r="I21" s="16">
        <f t="shared" si="3"/>
        <v>8147.7699999999968</v>
      </c>
      <c r="K21" s="12">
        <v>8147.77</v>
      </c>
    </row>
    <row r="22" spans="1:11" x14ac:dyDescent="0.25">
      <c r="A22" s="2" t="s">
        <v>13</v>
      </c>
      <c r="B22" s="8">
        <v>16162.73</v>
      </c>
      <c r="C22" s="8"/>
      <c r="D22" s="4">
        <f t="shared" si="0"/>
        <v>16162.73</v>
      </c>
      <c r="E22" s="11">
        <v>3352.47</v>
      </c>
      <c r="F22" s="11">
        <v>621.03</v>
      </c>
      <c r="G22" s="4">
        <f t="shared" si="4"/>
        <v>7922.91</v>
      </c>
      <c r="H22" s="4">
        <f t="shared" si="2"/>
        <v>11896.41</v>
      </c>
      <c r="I22" s="16">
        <f t="shared" si="3"/>
        <v>4266.32</v>
      </c>
      <c r="K22" s="12">
        <v>4266.32</v>
      </c>
    </row>
    <row r="23" spans="1:11" x14ac:dyDescent="0.25">
      <c r="A23" s="2" t="s">
        <v>14</v>
      </c>
      <c r="B23" s="8">
        <v>5789.06</v>
      </c>
      <c r="C23" s="8"/>
      <c r="D23" s="4">
        <f t="shared" si="0"/>
        <v>5789.06</v>
      </c>
      <c r="E23" s="11">
        <v>447.57</v>
      </c>
      <c r="F23" s="11">
        <v>621.03</v>
      </c>
      <c r="G23" s="4">
        <f t="shared" si="4"/>
        <v>2860.1600000000008</v>
      </c>
      <c r="H23" s="4">
        <f t="shared" si="2"/>
        <v>3928.7600000000007</v>
      </c>
      <c r="I23" s="16">
        <f t="shared" si="3"/>
        <v>1860.2999999999997</v>
      </c>
      <c r="K23" s="12">
        <v>1860.3</v>
      </c>
    </row>
    <row r="24" spans="1:11" x14ac:dyDescent="0.25">
      <c r="A24" s="2" t="s">
        <v>69</v>
      </c>
      <c r="B24" s="8">
        <v>2580.81</v>
      </c>
      <c r="C24" s="8">
        <v>37.5</v>
      </c>
      <c r="D24" s="4">
        <f t="shared" si="0"/>
        <v>2618.31</v>
      </c>
      <c r="E24" s="11">
        <v>33.340000000000003</v>
      </c>
      <c r="F24" s="11">
        <v>232.27</v>
      </c>
      <c r="G24" s="4">
        <f t="shared" si="4"/>
        <v>1271.8799999999999</v>
      </c>
      <c r="H24" s="4">
        <f t="shared" si="2"/>
        <v>1537.4899999999998</v>
      </c>
      <c r="I24" s="16">
        <f t="shared" si="3"/>
        <v>1080.8200000000002</v>
      </c>
      <c r="K24" s="12">
        <v>1080.82</v>
      </c>
    </row>
    <row r="25" spans="1:11" x14ac:dyDescent="0.25">
      <c r="A25" s="2" t="s">
        <v>15</v>
      </c>
      <c r="B25" s="8">
        <v>16162.73</v>
      </c>
      <c r="C25" s="8"/>
      <c r="D25" s="4">
        <f t="shared" si="0"/>
        <v>16162.73</v>
      </c>
      <c r="E25" s="11">
        <v>3352.47</v>
      </c>
      <c r="F25" s="11">
        <v>621.03</v>
      </c>
      <c r="G25" s="4">
        <f t="shared" si="4"/>
        <v>9202.81</v>
      </c>
      <c r="H25" s="4">
        <f t="shared" si="2"/>
        <v>13176.31</v>
      </c>
      <c r="I25" s="16">
        <f t="shared" si="3"/>
        <v>2986.42</v>
      </c>
      <c r="K25" s="12">
        <v>2986.42</v>
      </c>
    </row>
    <row r="26" spans="1:11" x14ac:dyDescent="0.25">
      <c r="A26" s="2" t="s">
        <v>16</v>
      </c>
      <c r="B26" s="8">
        <v>6175</v>
      </c>
      <c r="C26" s="8"/>
      <c r="D26" s="4">
        <f t="shared" si="0"/>
        <v>6175</v>
      </c>
      <c r="E26" s="11">
        <v>553.70000000000005</v>
      </c>
      <c r="F26" s="11">
        <v>621.03</v>
      </c>
      <c r="G26" s="4">
        <f t="shared" si="4"/>
        <v>2980.51</v>
      </c>
      <c r="H26" s="4">
        <f t="shared" si="2"/>
        <v>4155.24</v>
      </c>
      <c r="I26" s="16">
        <f>SUM(D26-H26)</f>
        <v>2019.7600000000002</v>
      </c>
      <c r="K26" s="12">
        <v>2019.76</v>
      </c>
    </row>
    <row r="27" spans="1:11" x14ac:dyDescent="0.25">
      <c r="A27" s="2" t="s">
        <v>17</v>
      </c>
      <c r="B27" s="8">
        <v>6606.03</v>
      </c>
      <c r="C27" s="8"/>
      <c r="D27" s="4">
        <f t="shared" si="0"/>
        <v>6606.03</v>
      </c>
      <c r="E27" s="11">
        <v>776.51</v>
      </c>
      <c r="F27" s="11">
        <v>621.03</v>
      </c>
      <c r="G27" s="4">
        <f t="shared" si="4"/>
        <v>3238.25</v>
      </c>
      <c r="H27" s="4">
        <f t="shared" si="2"/>
        <v>4635.79</v>
      </c>
      <c r="I27" s="16">
        <f t="shared" si="3"/>
        <v>1970.2399999999998</v>
      </c>
      <c r="K27" s="12">
        <v>1970.24</v>
      </c>
    </row>
    <row r="28" spans="1:11" x14ac:dyDescent="0.25">
      <c r="A28" s="2" t="s">
        <v>18</v>
      </c>
      <c r="B28" s="9">
        <v>2102.29</v>
      </c>
      <c r="C28" s="8"/>
      <c r="D28" s="4">
        <f t="shared" si="0"/>
        <v>2102.29</v>
      </c>
      <c r="E28" s="11"/>
      <c r="F28" s="11">
        <v>189.2</v>
      </c>
      <c r="G28" s="4">
        <f t="shared" si="4"/>
        <v>1051.1499999999999</v>
      </c>
      <c r="H28" s="4">
        <f t="shared" si="2"/>
        <v>1240.3499999999999</v>
      </c>
      <c r="I28" s="16">
        <f t="shared" si="3"/>
        <v>861.94</v>
      </c>
      <c r="K28" s="12">
        <v>861.94</v>
      </c>
    </row>
    <row r="29" spans="1:11" x14ac:dyDescent="0.25">
      <c r="A29" s="2" t="s">
        <v>19</v>
      </c>
      <c r="B29" s="8">
        <v>4594.51</v>
      </c>
      <c r="C29" s="8"/>
      <c r="D29" s="4">
        <f t="shared" si="0"/>
        <v>4594.51</v>
      </c>
      <c r="E29" s="11">
        <v>201.69</v>
      </c>
      <c r="F29" s="11">
        <v>505.39</v>
      </c>
      <c r="G29" s="4">
        <f t="shared" si="4"/>
        <v>2217.6100000000006</v>
      </c>
      <c r="H29" s="4">
        <f t="shared" si="2"/>
        <v>2924.6900000000005</v>
      </c>
      <c r="I29" s="16">
        <f t="shared" si="3"/>
        <v>1669.8199999999997</v>
      </c>
      <c r="K29" s="12">
        <v>1669.82</v>
      </c>
    </row>
    <row r="30" spans="1:11" x14ac:dyDescent="0.25">
      <c r="A30" s="2" t="s">
        <v>20</v>
      </c>
      <c r="B30" s="8">
        <v>5553.17</v>
      </c>
      <c r="C30" s="8"/>
      <c r="D30" s="4">
        <f t="shared" si="0"/>
        <v>5553.17</v>
      </c>
      <c r="E30" s="11">
        <v>489.78</v>
      </c>
      <c r="F30" s="11">
        <v>610.84</v>
      </c>
      <c r="G30" s="4">
        <f t="shared" si="4"/>
        <v>2659.55</v>
      </c>
      <c r="H30" s="4">
        <f t="shared" si="2"/>
        <v>3760.17</v>
      </c>
      <c r="I30" s="16">
        <f t="shared" si="3"/>
        <v>1793</v>
      </c>
      <c r="K30" s="12">
        <v>1793</v>
      </c>
    </row>
    <row r="31" spans="1:11" x14ac:dyDescent="0.25">
      <c r="A31" s="2" t="s">
        <v>21</v>
      </c>
      <c r="B31" s="8">
        <v>6653.68</v>
      </c>
      <c r="C31" s="8"/>
      <c r="D31" s="4">
        <f t="shared" si="0"/>
        <v>6653.68</v>
      </c>
      <c r="E31" s="11">
        <v>789.61</v>
      </c>
      <c r="F31" s="11">
        <v>621.03</v>
      </c>
      <c r="G31" s="4">
        <f t="shared" si="4"/>
        <v>3275.2900000000009</v>
      </c>
      <c r="H31" s="4">
        <f t="shared" si="2"/>
        <v>4685.93</v>
      </c>
      <c r="I31" s="16">
        <f t="shared" si="3"/>
        <v>1967.75</v>
      </c>
      <c r="K31" s="12">
        <v>1967.75</v>
      </c>
    </row>
    <row r="32" spans="1:11" x14ac:dyDescent="0.25">
      <c r="A32" s="2" t="s">
        <v>74</v>
      </c>
      <c r="B32" s="8">
        <v>2726.08</v>
      </c>
      <c r="C32" s="8">
        <v>41.67</v>
      </c>
      <c r="D32" s="4">
        <f t="shared" si="0"/>
        <v>2767.75</v>
      </c>
      <c r="E32" s="11"/>
      <c r="F32" s="11">
        <v>245.34</v>
      </c>
      <c r="G32" s="4">
        <f t="shared" si="4"/>
        <v>1400.81</v>
      </c>
      <c r="H32" s="4">
        <f t="shared" ref="H32" si="6">SUM(E32:G32)</f>
        <v>1646.1499999999999</v>
      </c>
      <c r="I32" s="16">
        <f>SUM(D32-H32)</f>
        <v>1121.6000000000001</v>
      </c>
      <c r="K32" s="12">
        <v>1121.5999999999999</v>
      </c>
    </row>
    <row r="33" spans="1:11" x14ac:dyDescent="0.25">
      <c r="A33" s="2" t="s">
        <v>22</v>
      </c>
      <c r="B33" s="8">
        <v>1226.2</v>
      </c>
      <c r="C33" s="8"/>
      <c r="D33" s="4">
        <f t="shared" si="0"/>
        <v>1226.2</v>
      </c>
      <c r="E33" s="11"/>
      <c r="F33" s="11">
        <v>98.09</v>
      </c>
      <c r="G33" s="4">
        <f t="shared" si="4"/>
        <v>887.78000000000009</v>
      </c>
      <c r="H33" s="4">
        <f t="shared" si="2"/>
        <v>985.87000000000012</v>
      </c>
      <c r="I33" s="16">
        <f>SUM(D33-H33)</f>
        <v>240.32999999999993</v>
      </c>
      <c r="K33" s="12">
        <v>240.33</v>
      </c>
    </row>
    <row r="34" spans="1:11" x14ac:dyDescent="0.25">
      <c r="A34" s="2" t="s">
        <v>23</v>
      </c>
      <c r="B34" s="8">
        <v>6009.08</v>
      </c>
      <c r="C34" s="8"/>
      <c r="D34" s="4">
        <f t="shared" si="0"/>
        <v>6009.08</v>
      </c>
      <c r="E34" s="11">
        <v>612.35</v>
      </c>
      <c r="F34" s="11">
        <v>621.03</v>
      </c>
      <c r="G34" s="4">
        <f t="shared" si="4"/>
        <v>2918.85</v>
      </c>
      <c r="H34" s="4">
        <f t="shared" si="2"/>
        <v>4152.2299999999996</v>
      </c>
      <c r="I34" s="16">
        <f t="shared" si="3"/>
        <v>1856.8500000000004</v>
      </c>
      <c r="K34" s="12">
        <v>1856.85</v>
      </c>
    </row>
    <row r="35" spans="1:11" x14ac:dyDescent="0.25">
      <c r="A35" s="2" t="s">
        <v>24</v>
      </c>
      <c r="B35" s="8">
        <v>16162.73</v>
      </c>
      <c r="C35" s="8"/>
      <c r="D35" s="4">
        <f t="shared" si="0"/>
        <v>16162.73</v>
      </c>
      <c r="E35" s="11">
        <v>3352.47</v>
      </c>
      <c r="F35" s="11">
        <v>621.03</v>
      </c>
      <c r="G35" s="4">
        <f t="shared" si="4"/>
        <v>9028.02</v>
      </c>
      <c r="H35" s="4">
        <f t="shared" si="2"/>
        <v>13001.52</v>
      </c>
      <c r="I35" s="16">
        <f>SUM(D35-H35)</f>
        <v>3161.2099999999991</v>
      </c>
      <c r="K35" s="12">
        <v>3161.21</v>
      </c>
    </row>
    <row r="36" spans="1:11" x14ac:dyDescent="0.25">
      <c r="A36" s="2" t="s">
        <v>25</v>
      </c>
      <c r="B36" s="8">
        <v>15902.04</v>
      </c>
      <c r="C36" s="8"/>
      <c r="D36" s="4">
        <f t="shared" si="0"/>
        <v>15902.04</v>
      </c>
      <c r="E36" s="11">
        <v>3280.78</v>
      </c>
      <c r="F36" s="11">
        <v>621.03</v>
      </c>
      <c r="G36" s="4">
        <f t="shared" si="4"/>
        <v>7795.1299999999992</v>
      </c>
      <c r="H36" s="4">
        <f t="shared" si="2"/>
        <v>11696.939999999999</v>
      </c>
      <c r="I36" s="16">
        <f t="shared" si="3"/>
        <v>4205.1000000000022</v>
      </c>
      <c r="K36" s="12">
        <v>4205.1000000000004</v>
      </c>
    </row>
    <row r="37" spans="1:11" x14ac:dyDescent="0.25">
      <c r="A37" s="2" t="s">
        <v>75</v>
      </c>
      <c r="B37" s="8">
        <v>5789.87</v>
      </c>
      <c r="C37" s="8"/>
      <c r="D37" s="4">
        <f t="shared" si="0"/>
        <v>5789.87</v>
      </c>
      <c r="E37" s="11">
        <v>552.07000000000005</v>
      </c>
      <c r="F37" s="11">
        <v>621.03</v>
      </c>
      <c r="G37" s="4">
        <f t="shared" si="4"/>
        <v>2838.1700000000005</v>
      </c>
      <c r="H37" s="4">
        <f t="shared" si="2"/>
        <v>4011.2700000000004</v>
      </c>
      <c r="I37" s="16">
        <f t="shared" si="3"/>
        <v>1778.5999999999995</v>
      </c>
      <c r="K37" s="12">
        <v>1778.6</v>
      </c>
    </row>
    <row r="38" spans="1:11" x14ac:dyDescent="0.25">
      <c r="A38" s="2" t="s">
        <v>26</v>
      </c>
      <c r="B38" s="8">
        <v>5270.06</v>
      </c>
      <c r="C38" s="8"/>
      <c r="D38" s="4">
        <f t="shared" si="0"/>
        <v>5270.06</v>
      </c>
      <c r="E38" s="11">
        <v>333.88</v>
      </c>
      <c r="F38" s="11">
        <v>579.70000000000005</v>
      </c>
      <c r="G38" s="4">
        <f t="shared" si="4"/>
        <v>2543.6900000000005</v>
      </c>
      <c r="H38" s="4">
        <f t="shared" si="2"/>
        <v>3457.2700000000004</v>
      </c>
      <c r="I38" s="16">
        <f>SUM(D38-H38)</f>
        <v>1812.79</v>
      </c>
      <c r="K38" s="12">
        <v>1812.79</v>
      </c>
    </row>
    <row r="39" spans="1:11" x14ac:dyDescent="0.25">
      <c r="A39" s="2" t="s">
        <v>71</v>
      </c>
      <c r="B39" s="8">
        <v>1672.4</v>
      </c>
      <c r="C39" s="8"/>
      <c r="D39" s="4">
        <f t="shared" si="0"/>
        <v>1672.4</v>
      </c>
      <c r="E39" s="11"/>
      <c r="F39" s="11">
        <v>133.79</v>
      </c>
      <c r="G39" s="4">
        <f t="shared" si="4"/>
        <v>811.69000000000017</v>
      </c>
      <c r="H39" s="4">
        <f t="shared" ref="H39" si="7">SUM(E39:G39)</f>
        <v>945.48000000000013</v>
      </c>
      <c r="I39" s="16">
        <f t="shared" ref="I39" si="8">SUM(D39-H39)</f>
        <v>726.92</v>
      </c>
      <c r="K39" s="12">
        <v>726.92</v>
      </c>
    </row>
    <row r="40" spans="1:11" x14ac:dyDescent="0.25">
      <c r="A40" s="2" t="s">
        <v>27</v>
      </c>
      <c r="B40" s="8">
        <v>2684.74</v>
      </c>
      <c r="C40" s="8"/>
      <c r="D40" s="4">
        <f t="shared" si="0"/>
        <v>2684.74</v>
      </c>
      <c r="E40" s="11">
        <v>40.43</v>
      </c>
      <c r="F40" s="11">
        <v>241.62</v>
      </c>
      <c r="G40" s="4">
        <f t="shared" si="4"/>
        <v>1316.05</v>
      </c>
      <c r="H40" s="4">
        <f t="shared" si="2"/>
        <v>1598.1</v>
      </c>
      <c r="I40" s="16">
        <f t="shared" si="3"/>
        <v>1086.6399999999999</v>
      </c>
      <c r="K40" s="12">
        <v>1086.6400000000001</v>
      </c>
    </row>
    <row r="41" spans="1:11" ht="15.75" thickBot="1" x14ac:dyDescent="0.3">
      <c r="A41" s="2" t="s">
        <v>28</v>
      </c>
      <c r="B41" s="8">
        <v>16032.39</v>
      </c>
      <c r="C41" s="8"/>
      <c r="D41" s="4">
        <f t="shared" si="0"/>
        <v>16032.39</v>
      </c>
      <c r="E41" s="11">
        <v>3212.35</v>
      </c>
      <c r="F41" s="11">
        <v>621.03</v>
      </c>
      <c r="G41" s="4">
        <f t="shared" si="4"/>
        <v>7859.0099999999984</v>
      </c>
      <c r="H41" s="4">
        <f t="shared" si="2"/>
        <v>11692.39</v>
      </c>
      <c r="I41" s="16">
        <f t="shared" si="3"/>
        <v>4340</v>
      </c>
      <c r="K41" s="12">
        <v>4340</v>
      </c>
    </row>
    <row r="42" spans="1:11" x14ac:dyDescent="0.25">
      <c r="A42" s="122" t="s">
        <v>58</v>
      </c>
      <c r="B42" s="124" t="s">
        <v>48</v>
      </c>
      <c r="C42" s="124" t="s">
        <v>80</v>
      </c>
      <c r="D42" s="5" t="s">
        <v>50</v>
      </c>
      <c r="E42" s="126" t="s">
        <v>52</v>
      </c>
      <c r="F42" s="126" t="s">
        <v>53</v>
      </c>
      <c r="G42" s="5" t="s">
        <v>54</v>
      </c>
      <c r="H42" s="5" t="s">
        <v>56</v>
      </c>
      <c r="I42" s="5" t="s">
        <v>50</v>
      </c>
      <c r="K42" s="14"/>
    </row>
    <row r="43" spans="1:11" ht="15.75" thickBot="1" x14ac:dyDescent="0.3">
      <c r="A43" s="123"/>
      <c r="B43" s="125"/>
      <c r="C43" s="125"/>
      <c r="D43" s="6" t="s">
        <v>51</v>
      </c>
      <c r="E43" s="127"/>
      <c r="F43" s="127"/>
      <c r="G43" s="6" t="s">
        <v>55</v>
      </c>
      <c r="H43" s="6" t="s">
        <v>55</v>
      </c>
      <c r="I43" s="6" t="s">
        <v>57</v>
      </c>
      <c r="K43" s="14"/>
    </row>
    <row r="44" spans="1:11" x14ac:dyDescent="0.25">
      <c r="A44" s="2" t="s">
        <v>29</v>
      </c>
      <c r="B44" s="8">
        <v>1842.3</v>
      </c>
      <c r="C44" s="8"/>
      <c r="D44" s="4">
        <f t="shared" ref="D44:D63" si="9">SUM(B44:C44)</f>
        <v>1842.3</v>
      </c>
      <c r="E44" s="11"/>
      <c r="F44" s="11">
        <v>165.8</v>
      </c>
      <c r="G44" s="4">
        <f t="shared" ref="G44:G63" si="10">D44-E44-F44-K44</f>
        <v>894.81</v>
      </c>
      <c r="H44" s="4">
        <f t="shared" si="2"/>
        <v>1060.6099999999999</v>
      </c>
      <c r="I44" s="16">
        <f t="shared" si="3"/>
        <v>781.69</v>
      </c>
      <c r="K44" s="12">
        <v>781.69</v>
      </c>
    </row>
    <row r="45" spans="1:11" x14ac:dyDescent="0.25">
      <c r="A45" s="2" t="s">
        <v>30</v>
      </c>
      <c r="B45" s="8">
        <v>3767.43</v>
      </c>
      <c r="C45" s="8">
        <v>12.5</v>
      </c>
      <c r="D45" s="4">
        <f t="shared" si="9"/>
        <v>3779.93</v>
      </c>
      <c r="E45" s="11">
        <v>149.82</v>
      </c>
      <c r="F45" s="11">
        <v>415.79</v>
      </c>
      <c r="G45" s="4">
        <f t="shared" si="10"/>
        <v>1831.2599999999998</v>
      </c>
      <c r="H45" s="4">
        <f t="shared" si="2"/>
        <v>2396.87</v>
      </c>
      <c r="I45" s="16">
        <f t="shared" si="3"/>
        <v>1383.06</v>
      </c>
      <c r="K45" s="12">
        <v>1383.06</v>
      </c>
    </row>
    <row r="46" spans="1:11" x14ac:dyDescent="0.25">
      <c r="A46" s="2" t="s">
        <v>31</v>
      </c>
      <c r="B46" s="8">
        <v>7979.85</v>
      </c>
      <c r="C46" s="8"/>
      <c r="D46" s="4">
        <f t="shared" si="9"/>
        <v>7979.85</v>
      </c>
      <c r="E46" s="11">
        <v>1102.17</v>
      </c>
      <c r="F46" s="11">
        <v>621.03</v>
      </c>
      <c r="G46" s="4">
        <f t="shared" si="10"/>
        <v>3876.7700000000004</v>
      </c>
      <c r="H46" s="4">
        <f t="shared" si="2"/>
        <v>5599.97</v>
      </c>
      <c r="I46" s="16">
        <f t="shared" si="3"/>
        <v>2379.88</v>
      </c>
      <c r="K46" s="12">
        <v>2379.88</v>
      </c>
    </row>
    <row r="47" spans="1:11" x14ac:dyDescent="0.25">
      <c r="A47" s="2" t="s">
        <v>32</v>
      </c>
      <c r="B47" s="8">
        <v>8174.71</v>
      </c>
      <c r="C47" s="8">
        <v>95.83</v>
      </c>
      <c r="D47" s="4">
        <f t="shared" si="9"/>
        <v>8270.5400000000009</v>
      </c>
      <c r="E47" s="11">
        <v>1129.98</v>
      </c>
      <c r="F47" s="11">
        <v>621.03</v>
      </c>
      <c r="G47" s="4">
        <f>D47-E47-F47-K47</f>
        <v>3998.0900000000015</v>
      </c>
      <c r="H47" s="4">
        <f>SUM(E47:G47)</f>
        <v>5749.1000000000013</v>
      </c>
      <c r="I47" s="16">
        <f t="shared" si="3"/>
        <v>2521.4399999999996</v>
      </c>
      <c r="K47" s="12">
        <v>2521.44</v>
      </c>
    </row>
    <row r="48" spans="1:11" x14ac:dyDescent="0.25">
      <c r="A48" s="2" t="s">
        <v>33</v>
      </c>
      <c r="B48" s="8">
        <v>6004.31</v>
      </c>
      <c r="C48" s="8"/>
      <c r="D48" s="4">
        <f t="shared" si="9"/>
        <v>6004.31</v>
      </c>
      <c r="E48" s="11">
        <v>506.76</v>
      </c>
      <c r="F48" s="11">
        <v>621.03</v>
      </c>
      <c r="G48" s="4">
        <f t="shared" si="10"/>
        <v>2917.01</v>
      </c>
      <c r="H48" s="4">
        <f t="shared" si="2"/>
        <v>4044.8</v>
      </c>
      <c r="I48" s="16">
        <f t="shared" si="3"/>
        <v>1959.5100000000002</v>
      </c>
      <c r="K48" s="12">
        <v>1959.51</v>
      </c>
    </row>
    <row r="49" spans="1:11" x14ac:dyDescent="0.25">
      <c r="A49" s="2" t="s">
        <v>34</v>
      </c>
      <c r="B49" s="8">
        <v>6136.65</v>
      </c>
      <c r="C49" s="8"/>
      <c r="D49" s="4">
        <f t="shared" si="9"/>
        <v>6136.65</v>
      </c>
      <c r="E49" s="11">
        <v>595.29</v>
      </c>
      <c r="F49" s="11">
        <v>621.03</v>
      </c>
      <c r="G49" s="4">
        <f t="shared" si="10"/>
        <v>2961.96</v>
      </c>
      <c r="H49" s="4">
        <f t="shared" si="2"/>
        <v>4178.28</v>
      </c>
      <c r="I49" s="16">
        <f>SUM(D49-H49)</f>
        <v>1958.37</v>
      </c>
      <c r="K49" s="12">
        <v>1958.37</v>
      </c>
    </row>
    <row r="50" spans="1:11" x14ac:dyDescent="0.25">
      <c r="A50" s="2" t="s">
        <v>35</v>
      </c>
      <c r="B50" s="8">
        <v>5789.87</v>
      </c>
      <c r="C50" s="8"/>
      <c r="D50" s="4">
        <f t="shared" si="9"/>
        <v>5789.87</v>
      </c>
      <c r="E50" s="11">
        <v>499.93</v>
      </c>
      <c r="F50" s="11">
        <v>621.03</v>
      </c>
      <c r="G50" s="4">
        <f t="shared" si="10"/>
        <v>2794.5699999999997</v>
      </c>
      <c r="H50" s="4">
        <f t="shared" si="2"/>
        <v>3915.5299999999997</v>
      </c>
      <c r="I50" s="16">
        <f>SUM(D50-H50)</f>
        <v>1874.3400000000001</v>
      </c>
      <c r="K50" s="12">
        <v>1874.34</v>
      </c>
    </row>
    <row r="51" spans="1:11" x14ac:dyDescent="0.25">
      <c r="A51" s="2" t="s">
        <v>36</v>
      </c>
      <c r="B51" s="8">
        <v>3724.51</v>
      </c>
      <c r="C51" s="8"/>
      <c r="D51" s="4">
        <f t="shared" si="9"/>
        <v>3724.51</v>
      </c>
      <c r="E51" s="11">
        <v>85.54</v>
      </c>
      <c r="F51" s="11">
        <v>409.69</v>
      </c>
      <c r="G51" s="4">
        <f t="shared" si="10"/>
        <v>1825.7400000000002</v>
      </c>
      <c r="H51" s="4">
        <f t="shared" si="2"/>
        <v>2320.9700000000003</v>
      </c>
      <c r="I51" s="16">
        <f t="shared" si="3"/>
        <v>1403.54</v>
      </c>
      <c r="K51" s="12">
        <v>1403.54</v>
      </c>
    </row>
    <row r="52" spans="1:11" x14ac:dyDescent="0.25">
      <c r="A52" s="2" t="s">
        <v>37</v>
      </c>
      <c r="B52" s="8">
        <v>2164.9299999999998</v>
      </c>
      <c r="C52" s="8"/>
      <c r="D52" s="4">
        <f t="shared" si="9"/>
        <v>2164.9299999999998</v>
      </c>
      <c r="E52" s="11"/>
      <c r="F52" s="11">
        <v>194.84</v>
      </c>
      <c r="G52" s="4">
        <f t="shared" si="10"/>
        <v>1061.2399999999998</v>
      </c>
      <c r="H52" s="4">
        <f t="shared" si="2"/>
        <v>1256.0799999999997</v>
      </c>
      <c r="I52" s="16">
        <f t="shared" si="3"/>
        <v>908.85000000000014</v>
      </c>
      <c r="K52" s="12">
        <v>908.85</v>
      </c>
    </row>
    <row r="53" spans="1:11" x14ac:dyDescent="0.25">
      <c r="A53" s="2" t="s">
        <v>38</v>
      </c>
      <c r="B53" s="8">
        <v>31165.26</v>
      </c>
      <c r="C53" s="8"/>
      <c r="D53" s="4">
        <f t="shared" si="9"/>
        <v>31165.26</v>
      </c>
      <c r="E53" s="11">
        <v>7530.3</v>
      </c>
      <c r="F53" s="11">
        <v>621.03</v>
      </c>
      <c r="G53" s="4">
        <f t="shared" si="10"/>
        <v>15277.09</v>
      </c>
      <c r="H53" s="4">
        <f t="shared" si="2"/>
        <v>23428.42</v>
      </c>
      <c r="I53" s="16">
        <f t="shared" si="3"/>
        <v>7736.84</v>
      </c>
      <c r="K53" s="12">
        <v>7736.84</v>
      </c>
    </row>
    <row r="54" spans="1:11" x14ac:dyDescent="0.25">
      <c r="A54" s="2" t="s">
        <v>39</v>
      </c>
      <c r="B54" s="8">
        <v>5905.42</v>
      </c>
      <c r="C54" s="8">
        <v>8.33</v>
      </c>
      <c r="D54" s="4">
        <f t="shared" si="9"/>
        <v>5913.75</v>
      </c>
      <c r="E54" s="11">
        <v>531.71</v>
      </c>
      <c r="F54" s="11">
        <v>621.03</v>
      </c>
      <c r="G54" s="4">
        <f t="shared" si="10"/>
        <v>2872.78</v>
      </c>
      <c r="H54" s="4">
        <f t="shared" si="2"/>
        <v>4025.5200000000004</v>
      </c>
      <c r="I54" s="16">
        <f t="shared" si="3"/>
        <v>1888.2299999999996</v>
      </c>
      <c r="K54" s="12">
        <v>1888.23</v>
      </c>
    </row>
    <row r="55" spans="1:11" x14ac:dyDescent="0.25">
      <c r="A55" s="2" t="s">
        <v>40</v>
      </c>
      <c r="B55" s="8">
        <v>4912.34</v>
      </c>
      <c r="C55" s="8">
        <v>4.17</v>
      </c>
      <c r="D55" s="4">
        <f t="shared" si="9"/>
        <v>4916.51</v>
      </c>
      <c r="E55" s="11">
        <v>304.89999999999998</v>
      </c>
      <c r="F55" s="11">
        <v>540.35</v>
      </c>
      <c r="G55" s="4">
        <f t="shared" si="10"/>
        <v>2387.4500000000007</v>
      </c>
      <c r="H55" s="4">
        <f t="shared" si="2"/>
        <v>3232.7000000000007</v>
      </c>
      <c r="I55" s="16">
        <f t="shared" si="3"/>
        <v>1683.8099999999995</v>
      </c>
      <c r="K55" s="12">
        <v>1683.81</v>
      </c>
    </row>
    <row r="56" spans="1:11" x14ac:dyDescent="0.25">
      <c r="A56" s="2" t="s">
        <v>70</v>
      </c>
      <c r="B56" s="8">
        <v>1672.4</v>
      </c>
      <c r="C56" s="8"/>
      <c r="D56" s="4">
        <f t="shared" si="9"/>
        <v>1672.4</v>
      </c>
      <c r="E56" s="11"/>
      <c r="F56" s="11">
        <v>133.79</v>
      </c>
      <c r="G56" s="4">
        <f t="shared" si="10"/>
        <v>811.69000000000017</v>
      </c>
      <c r="H56" s="4">
        <f t="shared" ref="H56" si="11">SUM(E56:G56)</f>
        <v>945.48000000000013</v>
      </c>
      <c r="I56" s="16">
        <f t="shared" si="3"/>
        <v>726.92</v>
      </c>
      <c r="K56" s="12">
        <v>726.92</v>
      </c>
    </row>
    <row r="57" spans="1:11" x14ac:dyDescent="0.25">
      <c r="A57" s="2" t="s">
        <v>41</v>
      </c>
      <c r="B57" s="8">
        <v>16423.419999999998</v>
      </c>
      <c r="C57" s="8"/>
      <c r="D57" s="4">
        <f t="shared" si="9"/>
        <v>16423.419999999998</v>
      </c>
      <c r="E57" s="11">
        <v>3424.15</v>
      </c>
      <c r="F57" s="11">
        <v>621.03</v>
      </c>
      <c r="G57" s="4">
        <f t="shared" si="10"/>
        <v>7864.1299999999983</v>
      </c>
      <c r="H57" s="4">
        <f t="shared" si="2"/>
        <v>11909.309999999998</v>
      </c>
      <c r="I57" s="16">
        <f>SUM(D57-H57)</f>
        <v>4514.1100000000006</v>
      </c>
      <c r="K57" s="12">
        <v>4514.1099999999997</v>
      </c>
    </row>
    <row r="58" spans="1:11" x14ac:dyDescent="0.25">
      <c r="A58" s="2" t="s">
        <v>42</v>
      </c>
      <c r="B58" s="8">
        <v>1924.05</v>
      </c>
      <c r="C58" s="8"/>
      <c r="D58" s="4">
        <f t="shared" si="9"/>
        <v>1924.05</v>
      </c>
      <c r="E58" s="11"/>
      <c r="F58" s="11">
        <v>173.16</v>
      </c>
      <c r="G58" s="4">
        <f t="shared" si="10"/>
        <v>934.7399999999999</v>
      </c>
      <c r="H58" s="4">
        <f t="shared" si="2"/>
        <v>1107.8999999999999</v>
      </c>
      <c r="I58" s="16">
        <f t="shared" si="3"/>
        <v>816.15000000000009</v>
      </c>
      <c r="K58" s="12">
        <v>816.15</v>
      </c>
    </row>
    <row r="59" spans="1:11" x14ac:dyDescent="0.25">
      <c r="A59" s="2" t="s">
        <v>43</v>
      </c>
      <c r="B59" s="8">
        <v>3735.77</v>
      </c>
      <c r="C59" s="8"/>
      <c r="D59" s="4">
        <f t="shared" si="9"/>
        <v>3735.77</v>
      </c>
      <c r="E59" s="11">
        <v>143.91999999999999</v>
      </c>
      <c r="F59" s="11">
        <v>410.93</v>
      </c>
      <c r="G59" s="4">
        <f t="shared" si="10"/>
        <v>1831.26</v>
      </c>
      <c r="H59" s="4">
        <f t="shared" si="2"/>
        <v>2386.11</v>
      </c>
      <c r="I59" s="16">
        <f t="shared" si="3"/>
        <v>1349.6599999999999</v>
      </c>
      <c r="K59" s="12">
        <v>1349.66</v>
      </c>
    </row>
    <row r="60" spans="1:11" x14ac:dyDescent="0.25">
      <c r="A60" s="2" t="s">
        <v>44</v>
      </c>
      <c r="B60" s="8">
        <v>14572.56</v>
      </c>
      <c r="C60" s="8">
        <v>8.33</v>
      </c>
      <c r="D60" s="4">
        <f t="shared" si="9"/>
        <v>14580.89</v>
      </c>
      <c r="E60" s="11">
        <v>2863.04</v>
      </c>
      <c r="F60" s="11">
        <v>621.03</v>
      </c>
      <c r="G60" s="4">
        <f t="shared" si="10"/>
        <v>5866.3899999999976</v>
      </c>
      <c r="H60" s="4">
        <f t="shared" si="2"/>
        <v>9350.4599999999973</v>
      </c>
      <c r="I60" s="16">
        <f>SUM(D60-H60)</f>
        <v>5230.4300000000021</v>
      </c>
      <c r="K60" s="12">
        <v>5230.43</v>
      </c>
    </row>
    <row r="61" spans="1:11" x14ac:dyDescent="0.25">
      <c r="A61" s="2" t="s">
        <v>45</v>
      </c>
      <c r="B61" s="8">
        <v>4456.4799999999996</v>
      </c>
      <c r="C61" s="8"/>
      <c r="D61" s="4">
        <f t="shared" si="9"/>
        <v>4456.4799999999996</v>
      </c>
      <c r="E61" s="11">
        <v>213.62</v>
      </c>
      <c r="F61" s="11">
        <v>490.21</v>
      </c>
      <c r="G61" s="4">
        <f t="shared" si="10"/>
        <v>2150.9999999999995</v>
      </c>
      <c r="H61" s="4">
        <f t="shared" si="2"/>
        <v>2854.8299999999995</v>
      </c>
      <c r="I61" s="16">
        <f t="shared" si="3"/>
        <v>1601.65</v>
      </c>
      <c r="K61" s="12">
        <v>1601.65</v>
      </c>
    </row>
    <row r="62" spans="1:11" x14ac:dyDescent="0.25">
      <c r="A62" s="2" t="s">
        <v>46</v>
      </c>
      <c r="B62" s="8">
        <v>1788.33</v>
      </c>
      <c r="C62" s="8"/>
      <c r="D62" s="4">
        <f t="shared" si="9"/>
        <v>1788.33</v>
      </c>
      <c r="E62" s="11"/>
      <c r="F62" s="11">
        <v>160.94</v>
      </c>
      <c r="G62" s="4">
        <f t="shared" si="10"/>
        <v>876.63999999999987</v>
      </c>
      <c r="H62" s="4">
        <f t="shared" si="2"/>
        <v>1037.58</v>
      </c>
      <c r="I62" s="16">
        <f t="shared" si="3"/>
        <v>750.75</v>
      </c>
      <c r="K62" s="12">
        <v>750.75</v>
      </c>
    </row>
    <row r="63" spans="1:11" x14ac:dyDescent="0.25">
      <c r="A63" s="2" t="s">
        <v>47</v>
      </c>
      <c r="B63" s="8">
        <v>9404.82</v>
      </c>
      <c r="C63" s="8">
        <v>12.5</v>
      </c>
      <c r="D63" s="4">
        <f t="shared" si="9"/>
        <v>9417.32</v>
      </c>
      <c r="E63" s="11">
        <v>1497.48</v>
      </c>
      <c r="F63" s="11">
        <v>621.03</v>
      </c>
      <c r="G63" s="4">
        <f t="shared" si="10"/>
        <v>4568.3</v>
      </c>
      <c r="H63" s="4">
        <f t="shared" si="2"/>
        <v>6686.81</v>
      </c>
      <c r="I63" s="16">
        <f t="shared" si="3"/>
        <v>2730.5099999999993</v>
      </c>
      <c r="K63" s="12">
        <v>2730.51</v>
      </c>
    </row>
    <row r="65" spans="1:9" x14ac:dyDescent="0.25">
      <c r="A65" s="130" t="s">
        <v>73</v>
      </c>
      <c r="B65" s="131"/>
      <c r="C65" s="131"/>
      <c r="D65" s="131"/>
      <c r="E65" s="131"/>
      <c r="F65" s="131"/>
      <c r="G65" s="131"/>
      <c r="H65" s="131"/>
      <c r="I65" s="131"/>
    </row>
    <row r="66" spans="1:9" x14ac:dyDescent="0.25">
      <c r="A66" s="130" t="s">
        <v>61</v>
      </c>
      <c r="B66" s="131"/>
      <c r="C66" s="131"/>
      <c r="D66" s="131"/>
      <c r="E66" s="131"/>
      <c r="F66" s="131"/>
      <c r="G66" s="131"/>
      <c r="H66" s="131"/>
      <c r="I66" s="131"/>
    </row>
    <row r="67" spans="1:9" x14ac:dyDescent="0.25">
      <c r="A67" s="132"/>
      <c r="B67" s="132"/>
      <c r="C67" s="132"/>
      <c r="D67" s="132"/>
      <c r="E67" s="132"/>
      <c r="F67" s="132"/>
      <c r="G67" s="132"/>
      <c r="H67" s="132"/>
      <c r="I67" s="132"/>
    </row>
    <row r="68" spans="1:9" x14ac:dyDescent="0.25">
      <c r="A68" s="133" t="s">
        <v>62</v>
      </c>
      <c r="B68" s="133"/>
      <c r="C68" s="133"/>
      <c r="D68" s="133"/>
      <c r="E68" s="133"/>
      <c r="F68" s="133"/>
      <c r="G68" s="133"/>
      <c r="H68" s="133"/>
      <c r="I68" s="133"/>
    </row>
    <row r="69" spans="1:9" x14ac:dyDescent="0.25">
      <c r="A69" s="128" t="s">
        <v>66</v>
      </c>
      <c r="B69" s="128"/>
      <c r="C69" s="128"/>
      <c r="D69" s="128"/>
      <c r="E69" s="128"/>
      <c r="F69" s="128"/>
      <c r="G69" s="128"/>
      <c r="H69" s="128"/>
      <c r="I69" s="128"/>
    </row>
    <row r="70" spans="1:9" x14ac:dyDescent="0.25">
      <c r="A70" s="128" t="s">
        <v>68</v>
      </c>
      <c r="B70" s="128"/>
      <c r="C70" s="128"/>
      <c r="D70" s="128"/>
      <c r="E70" s="128"/>
      <c r="F70" s="128"/>
      <c r="G70" s="128"/>
      <c r="H70" s="128"/>
      <c r="I70" s="128"/>
    </row>
    <row r="71" spans="1:9" x14ac:dyDescent="0.25">
      <c r="A71" s="128" t="s">
        <v>65</v>
      </c>
      <c r="B71" s="128"/>
      <c r="C71" s="128"/>
      <c r="D71" s="128"/>
      <c r="E71" s="128"/>
      <c r="F71" s="128"/>
      <c r="G71" s="128"/>
      <c r="H71" s="128"/>
      <c r="I71" s="128"/>
    </row>
    <row r="72" spans="1:9" x14ac:dyDescent="0.25">
      <c r="A72" s="129"/>
      <c r="B72" s="129"/>
      <c r="C72" s="129"/>
      <c r="D72" s="129"/>
      <c r="E72" s="129"/>
      <c r="F72" s="129"/>
      <c r="G72" s="129"/>
      <c r="H72" s="129"/>
      <c r="I72" s="129"/>
    </row>
    <row r="73" spans="1:9" x14ac:dyDescent="0.25">
      <c r="A73" s="27"/>
      <c r="B73" s="26"/>
      <c r="C73" s="26"/>
      <c r="D73" s="26"/>
      <c r="E73" s="26"/>
      <c r="F73" s="26"/>
      <c r="G73" s="26"/>
      <c r="H73" s="26"/>
      <c r="I73" s="26"/>
    </row>
    <row r="74" spans="1:9" x14ac:dyDescent="0.25">
      <c r="A74" s="27"/>
      <c r="B74" s="26"/>
      <c r="C74" s="26"/>
      <c r="D74" s="26"/>
      <c r="E74" s="26"/>
      <c r="F74" s="26"/>
      <c r="G74" s="26"/>
      <c r="H74" s="26"/>
      <c r="I74" s="26"/>
    </row>
    <row r="75" spans="1:9" x14ac:dyDescent="0.25">
      <c r="A75" s="20"/>
      <c r="B75" s="20"/>
      <c r="C75" s="20"/>
      <c r="D75" s="19" t="s">
        <v>76</v>
      </c>
      <c r="E75" s="19" t="s">
        <v>77</v>
      </c>
      <c r="F75" s="19" t="s">
        <v>53</v>
      </c>
      <c r="G75" s="20"/>
      <c r="H75" s="20"/>
      <c r="I75" s="19" t="s">
        <v>78</v>
      </c>
    </row>
    <row r="76" spans="1:9" x14ac:dyDescent="0.25">
      <c r="A76" s="13"/>
      <c r="B76" s="13"/>
      <c r="C76" s="13"/>
      <c r="D76" s="7">
        <f>SUM(D7:D41)</f>
        <v>277900.99</v>
      </c>
      <c r="E76" s="7">
        <f>SUM(E7:E41)</f>
        <v>45924.47</v>
      </c>
      <c r="F76" s="7">
        <f>SUM(F7:F41)</f>
        <v>15373.300000000007</v>
      </c>
      <c r="G76" s="13"/>
      <c r="H76" s="13"/>
      <c r="I76" s="7">
        <f>SUM(I7:I41)</f>
        <v>78025.98</v>
      </c>
    </row>
    <row r="77" spans="1:9" x14ac:dyDescent="0.25">
      <c r="A77" s="13"/>
      <c r="B77" s="13"/>
      <c r="C77" s="13"/>
      <c r="D77" s="7">
        <f>SUM(D44:D63)</f>
        <v>141687.07</v>
      </c>
      <c r="E77" s="7">
        <f>SUM(E44:E63)</f>
        <v>20578.609999999997</v>
      </c>
      <c r="F77" s="7">
        <f>SUM(F44:F63)</f>
        <v>9305.7999999999993</v>
      </c>
      <c r="G77" s="13"/>
      <c r="H77" s="13"/>
      <c r="I77" s="7">
        <f>SUM(I44:I63)</f>
        <v>44199.740000000013</v>
      </c>
    </row>
    <row r="78" spans="1:9" ht="15.75" x14ac:dyDescent="0.25">
      <c r="A78" s="13"/>
      <c r="B78" s="13"/>
      <c r="C78" s="13"/>
      <c r="D78" s="23">
        <f>SUM(D76:D77)</f>
        <v>419588.06</v>
      </c>
      <c r="E78" s="23">
        <f>SUM(E76:E77)</f>
        <v>66503.08</v>
      </c>
      <c r="F78" s="23">
        <f>SUM(F76:F77)</f>
        <v>24679.100000000006</v>
      </c>
      <c r="G78" s="24"/>
      <c r="H78" s="24"/>
      <c r="I78" s="23">
        <f>SUM(I76:I77)</f>
        <v>122225.72</v>
      </c>
    </row>
    <row r="79" spans="1:9" x14ac:dyDescent="0.25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25">
      <c r="A80" s="13"/>
      <c r="B80" s="13"/>
      <c r="C80" s="13"/>
      <c r="D80" s="13"/>
      <c r="E80" s="13"/>
      <c r="F80" s="13"/>
      <c r="G80" s="13"/>
      <c r="H80" s="13"/>
      <c r="I80" s="13"/>
    </row>
  </sheetData>
  <mergeCells count="21">
    <mergeCell ref="A71:I71"/>
    <mergeCell ref="A72:I72"/>
    <mergeCell ref="A65:I65"/>
    <mergeCell ref="A66:I66"/>
    <mergeCell ref="A67:I67"/>
    <mergeCell ref="A68:I68"/>
    <mergeCell ref="A69:I69"/>
    <mergeCell ref="A70:I70"/>
    <mergeCell ref="A42:A43"/>
    <mergeCell ref="B42:B43"/>
    <mergeCell ref="C42:C43"/>
    <mergeCell ref="E42:E43"/>
    <mergeCell ref="F42:F43"/>
    <mergeCell ref="A1:I1"/>
    <mergeCell ref="A2:I2"/>
    <mergeCell ref="A3:I3"/>
    <mergeCell ref="A5:A6"/>
    <mergeCell ref="B5:B6"/>
    <mergeCell ref="C5:C6"/>
    <mergeCell ref="E5:E6"/>
    <mergeCell ref="F5:F6"/>
  </mergeCells>
  <pageMargins left="0.25" right="0.25" top="0.75" bottom="0.75" header="0.3" footer="0.3"/>
  <pageSetup paperSize="9" scale="73" orientation="landscape" r:id="rId1"/>
  <rowBreaks count="1" manualBreakCount="1">
    <brk id="4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mes</vt:lpstr>
      <vt:lpstr>13</vt:lpstr>
      <vt:lpstr>'13'!Area_de_impressao</vt:lpstr>
      <vt:lpstr>mes!Area_de_impressao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Aurelio</dc:creator>
  <cp:lastModifiedBy>Marco Aurelio</cp:lastModifiedBy>
  <cp:lastPrinted>2019-11-05T12:24:45Z</cp:lastPrinted>
  <dcterms:created xsi:type="dcterms:W3CDTF">2016-04-28T12:49:34Z</dcterms:created>
  <dcterms:modified xsi:type="dcterms:W3CDTF">2020-08-05T19:45:24Z</dcterms:modified>
</cp:coreProperties>
</file>