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192459A7-6697-4089-9F45-305C0616F07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6" l="1"/>
  <c r="G65" i="6"/>
  <c r="B65" i="6"/>
  <c r="K63" i="6"/>
  <c r="E63" i="6"/>
  <c r="G63" i="6"/>
  <c r="B63" i="6"/>
  <c r="B61" i="6"/>
  <c r="G60" i="6"/>
  <c r="B60" i="6"/>
  <c r="K59" i="6"/>
  <c r="E59" i="6"/>
  <c r="G59" i="6"/>
  <c r="B59" i="6"/>
  <c r="K58" i="6"/>
  <c r="E58" i="6"/>
  <c r="B58" i="6"/>
  <c r="K57" i="6"/>
  <c r="F57" i="6"/>
  <c r="E57" i="6"/>
  <c r="G57" i="6"/>
  <c r="B57" i="6"/>
  <c r="K56" i="6"/>
  <c r="E56" i="6"/>
  <c r="G56" i="6"/>
  <c r="B56" i="6"/>
  <c r="K55" i="6"/>
  <c r="E55" i="6"/>
  <c r="G55" i="6"/>
  <c r="B55" i="6"/>
  <c r="F54" i="6"/>
  <c r="B54" i="6"/>
  <c r="G53" i="6"/>
  <c r="B53" i="6"/>
  <c r="K52" i="6"/>
  <c r="J52" i="6"/>
  <c r="E52" i="6"/>
  <c r="G52" i="6"/>
  <c r="B52" i="6"/>
  <c r="G51" i="6"/>
  <c r="G50" i="6"/>
  <c r="B50" i="6"/>
  <c r="B49" i="6"/>
  <c r="G48" i="6"/>
  <c r="G47" i="6"/>
  <c r="B47" i="6"/>
  <c r="G46" i="6"/>
  <c r="B46" i="6"/>
  <c r="K45" i="6"/>
  <c r="E45" i="6"/>
  <c r="G45" i="6"/>
  <c r="B45" i="6"/>
  <c r="E42" i="6"/>
  <c r="B42" i="6"/>
  <c r="K41" i="6"/>
  <c r="E41" i="6"/>
  <c r="G41" i="6"/>
  <c r="B41" i="6"/>
  <c r="K40" i="6"/>
  <c r="E40" i="6"/>
  <c r="G40" i="6"/>
  <c r="B40" i="6"/>
  <c r="K39" i="6"/>
  <c r="J39" i="6"/>
  <c r="E39" i="6"/>
  <c r="B39" i="6"/>
  <c r="J38" i="6"/>
  <c r="E38" i="6"/>
  <c r="B38" i="6"/>
  <c r="F37" i="6"/>
  <c r="E37" i="6"/>
  <c r="B37" i="6"/>
  <c r="F36" i="6"/>
  <c r="E36" i="6"/>
  <c r="G36" i="6"/>
  <c r="B36" i="6"/>
  <c r="K35" i="6"/>
  <c r="J35" i="6"/>
  <c r="E35" i="6"/>
  <c r="G35" i="6"/>
  <c r="B35" i="6"/>
  <c r="B34" i="6"/>
  <c r="G33" i="6"/>
  <c r="B33" i="6"/>
  <c r="E32" i="6"/>
  <c r="G32" i="6"/>
  <c r="B32" i="6"/>
  <c r="G31" i="6"/>
  <c r="B31" i="6"/>
  <c r="B30" i="6"/>
  <c r="G29" i="6"/>
  <c r="B29" i="6"/>
  <c r="J28" i="6"/>
  <c r="E28" i="6"/>
  <c r="G28" i="6"/>
  <c r="B28" i="6"/>
  <c r="B27" i="6"/>
  <c r="J26" i="6"/>
  <c r="E26" i="6"/>
  <c r="G26" i="6"/>
  <c r="B26" i="6"/>
  <c r="G25" i="6"/>
  <c r="B25" i="6"/>
  <c r="B24" i="6"/>
  <c r="J23" i="6"/>
  <c r="F23" i="6"/>
  <c r="E23" i="6"/>
  <c r="G23" i="6"/>
  <c r="B23" i="6"/>
  <c r="B22" i="6"/>
  <c r="G21" i="6"/>
  <c r="B21" i="6"/>
  <c r="E20" i="6"/>
  <c r="G20" i="6"/>
  <c r="B20" i="6"/>
  <c r="G19" i="6"/>
  <c r="B19" i="6"/>
  <c r="G18" i="6"/>
  <c r="B18" i="6"/>
  <c r="K17" i="6" l="1"/>
  <c r="E17" i="6"/>
  <c r="G17" i="6"/>
  <c r="B17" i="6"/>
  <c r="F16" i="6"/>
  <c r="G16" i="6"/>
  <c r="B16" i="6"/>
  <c r="G15" i="6"/>
  <c r="G14" i="6"/>
  <c r="K13" i="6"/>
  <c r="J13" i="6"/>
  <c r="E13" i="6"/>
  <c r="G13" i="6"/>
  <c r="B13" i="6"/>
  <c r="K12" i="6"/>
  <c r="E12" i="6"/>
  <c r="G12" i="6"/>
  <c r="B12" i="6"/>
  <c r="G11" i="6"/>
  <c r="B11" i="6"/>
  <c r="G10" i="6"/>
  <c r="B10" i="6"/>
  <c r="G8" i="6"/>
  <c r="B8" i="6"/>
  <c r="B7" i="6"/>
  <c r="B66" i="6" l="1"/>
  <c r="I63" i="6"/>
  <c r="I58" i="6"/>
  <c r="I54" i="6"/>
  <c r="I49" i="6"/>
  <c r="B48" i="6"/>
  <c r="I48" i="6" s="1"/>
  <c r="I46" i="6"/>
  <c r="I37" i="6"/>
  <c r="I32" i="6"/>
  <c r="I66" i="6"/>
  <c r="I47" i="6"/>
  <c r="I50" i="6"/>
  <c r="I51" i="6"/>
  <c r="I52" i="6"/>
  <c r="I53" i="6"/>
  <c r="I55" i="6"/>
  <c r="I56" i="6"/>
  <c r="I57" i="6"/>
  <c r="I59" i="6"/>
  <c r="I60" i="6"/>
  <c r="I61" i="6"/>
  <c r="I62" i="6"/>
  <c r="I64" i="6"/>
  <c r="I65" i="6"/>
  <c r="I45" i="6"/>
  <c r="I42" i="6"/>
  <c r="I31" i="6"/>
  <c r="I33" i="6"/>
  <c r="I34" i="6"/>
  <c r="I35" i="6"/>
  <c r="I36" i="6"/>
  <c r="I38" i="6"/>
  <c r="I39" i="6"/>
  <c r="I40" i="6"/>
  <c r="I41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8" i="6"/>
  <c r="I7" i="6"/>
  <c r="K20" i="6"/>
  <c r="J20" i="6"/>
  <c r="B15" i="6"/>
  <c r="B51" i="6" l="1"/>
  <c r="K49" i="6"/>
  <c r="K48" i="6"/>
  <c r="C14" i="6"/>
  <c r="B14" i="6"/>
  <c r="K7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<sst xmlns="http://schemas.openxmlformats.org/spreadsheetml/2006/main" count="208" uniqueCount="100">
  <si>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</si>
  <si>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</si>
  <si>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</si>
  <si>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</si>
  <si>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</si>
  <si>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</si>
  <si>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</si>
  <si>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</si>
  <si>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</si>
  <si>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</si>
  <si>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</si>
  <si>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</si>
  <si>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</si>
  <si>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</si>
  <si>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</si>
  <si>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</si>
  <si>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</si>
  <si>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</si>
  <si>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</si>
  <si>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</si>
  <si>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</si>
  <si>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</si>
  <si>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</si>
  <si>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</si>
  <si>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</si>
  <si>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</si>
  <si>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</si>
  <si>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</si>
  <si>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</si>
  <si>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</si>
  <si>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</si>
  <si>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</si>
  <si>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</si>
  <si>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</si>
  <si>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</si>
  <si>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</si>
  <si>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</si>
  <si>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</si>
  <si>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</si>
  <si>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</si>
  <si>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</si>
  <si>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</si>
  <si>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</si>
  <si>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</si>
  <si>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</si>
  <si>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</si>
  <si>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</si>
  <si>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</si>
  <si>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</si>
  <si>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</si>
  <si>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</si>
  <si>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</si>
  <si>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</si>
  <si>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</si>
  <si>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</si>
  <si>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</si>
  <si>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</si>
  <si>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</si>
  <si>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</si>
  <si>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</si>
  <si>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</si>
  <si>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</si>
  <si>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</si>
  <si>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</si>
  <si>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</si>
  <si>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</si>
  <si>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</si>
  <si>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</si>
  <si>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</si>
  <si>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</si>
  <si>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</si>
  <si>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</si>
  <si>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</si>
  <si>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</si>
  <si>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</si>
  <si>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</si>
  <si>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</si>
  <si>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</si>
  <si>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</si>
  <si>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</si>
  <si>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</si>
  <si>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</si>
  <si>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</si>
  <si>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</si>
  <si>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</si>
  <si>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</si>
  <si>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</si>
  <si>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</si>
  <si>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</si>
  <si>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</si>
  <si>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</si>
  <si>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</si>
  <si>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</si>
  <si>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</si>
  <si>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</si>
  <si>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</si>
  <si>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</si>
  <si>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</si>
  <si>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</si>
  <si>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06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</si>
</sst>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67" sqref="P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ht="16.5" x14ac:dyDescent="0.25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ht="4.5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85" t="s">
        <v>58</v>
      </c>
      <c r="B5" s="87" t="s">
        <v>48</v>
      </c>
      <c r="C5" s="91" t="s">
        <v>87</v>
      </c>
      <c r="D5" s="89" t="s">
        <v>49</v>
      </c>
      <c r="E5" s="89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89" t="s">
        <v>52</v>
      </c>
      <c r="K5" s="89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86"/>
      <c r="B6" s="88"/>
      <c r="C6" s="92"/>
      <c r="D6" s="90"/>
      <c r="E6" s="90"/>
      <c r="F6" s="67" t="s">
        <v>90</v>
      </c>
      <c r="G6" s="69" t="s">
        <v>67</v>
      </c>
      <c r="H6" s="37" t="s">
        <v>64</v>
      </c>
      <c r="I6" s="57" t="s">
        <v>51</v>
      </c>
      <c r="J6" s="90"/>
      <c r="K6" s="90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10382.27+5087.31</f>
        <v>15469.580000000002</v>
      </c>
      <c r="C7" s="70">
        <v>4152.91</v>
      </c>
      <c r="D7" s="76"/>
      <c r="E7" s="76"/>
      <c r="F7" s="76"/>
      <c r="G7" s="76"/>
      <c r="H7" s="77"/>
      <c r="I7" s="40">
        <f>SUM(B7:H7)</f>
        <v>19622.490000000002</v>
      </c>
      <c r="J7" s="10">
        <v>4278.59</v>
      </c>
      <c r="K7" s="10">
        <f>285.23+427.85</f>
        <v>713.08</v>
      </c>
      <c r="L7" s="4">
        <f t="shared" ref="L7:L13" si="0">I7-J7-K7-P7</f>
        <v>774.8600000000024</v>
      </c>
      <c r="M7" s="3">
        <f>SUM(J7:L7)</f>
        <v>5766.5300000000025</v>
      </c>
      <c r="N7" s="52">
        <f>SUM(I7-M7)</f>
        <v>13855.96</v>
      </c>
      <c r="O7" s="60"/>
      <c r="P7" s="61">
        <v>13855.96</v>
      </c>
    </row>
    <row r="8" spans="1:17" x14ac:dyDescent="0.25">
      <c r="A8" s="50" t="s">
        <v>1</v>
      </c>
      <c r="B8" s="44">
        <f>5055.97+252.8</f>
        <v>5308.77</v>
      </c>
      <c r="C8" s="71"/>
      <c r="D8" s="78"/>
      <c r="E8" s="78"/>
      <c r="F8" s="78"/>
      <c r="G8" s="78">
        <f>2527.99+126.4</f>
        <v>2654.39</v>
      </c>
      <c r="H8" s="79"/>
      <c r="I8" s="41">
        <f>SUM(B8:H8)</f>
        <v>7963.16</v>
      </c>
      <c r="J8" s="11">
        <v>424.96</v>
      </c>
      <c r="K8" s="11">
        <v>602.16</v>
      </c>
      <c r="L8" s="4">
        <f t="shared" si="0"/>
        <v>91.619999999999891</v>
      </c>
      <c r="M8" s="4">
        <f t="shared" ref="M8:M66" si="1">SUM(J8:L8)</f>
        <v>1118.7399999999998</v>
      </c>
      <c r="N8" s="53">
        <f t="shared" ref="N8:N66" si="2">SUM(I8-M8)</f>
        <v>6844.42</v>
      </c>
      <c r="O8" s="60"/>
      <c r="P8" s="61">
        <v>6844.42</v>
      </c>
    </row>
    <row r="9" spans="1:17" x14ac:dyDescent="0.25">
      <c r="A9" s="50" t="s">
        <v>2</v>
      </c>
      <c r="B9" s="44">
        <v>2458.8200000000002</v>
      </c>
      <c r="C9" s="71"/>
      <c r="D9" s="78"/>
      <c r="E9" s="78"/>
      <c r="F9" s="78"/>
      <c r="G9" s="78"/>
      <c r="H9" s="79"/>
      <c r="I9" s="41">
        <f t="shared" ref="I9:I41" si="3">SUM(B9:H9)</f>
        <v>2458.8200000000002</v>
      </c>
      <c r="J9" s="11"/>
      <c r="K9" s="11">
        <v>216.68</v>
      </c>
      <c r="L9" s="4">
        <f t="shared" si="0"/>
        <v>1111.7800000000004</v>
      </c>
      <c r="M9" s="4">
        <f t="shared" si="1"/>
        <v>1328.4600000000005</v>
      </c>
      <c r="N9" s="53">
        <f t="shared" si="2"/>
        <v>1130.3599999999997</v>
      </c>
      <c r="O9" s="60"/>
      <c r="P9" s="61">
        <v>1130.3599999999999</v>
      </c>
    </row>
    <row r="10" spans="1:17" x14ac:dyDescent="0.25">
      <c r="A10" s="50" t="s">
        <v>83</v>
      </c>
      <c r="B10" s="44">
        <f>4229.67+41.59</f>
        <v>4271.26</v>
      </c>
      <c r="C10" s="71"/>
      <c r="D10" s="78"/>
      <c r="E10" s="78"/>
      <c r="F10" s="78"/>
      <c r="G10" s="78">
        <f>2114.84+21.15</f>
        <v>2135.9900000000002</v>
      </c>
      <c r="H10" s="79"/>
      <c r="I10" s="41">
        <f t="shared" si="3"/>
        <v>6407.25</v>
      </c>
      <c r="J10" s="11">
        <v>208.46</v>
      </c>
      <c r="K10" s="11">
        <v>447.04</v>
      </c>
      <c r="L10" s="4">
        <f t="shared" ref="L10" si="4">I10-J10-K10-P10</f>
        <v>153.85000000000036</v>
      </c>
      <c r="M10" s="4">
        <f t="shared" ref="M10" si="5">SUM(J10:L10)</f>
        <v>809.35000000000036</v>
      </c>
      <c r="N10" s="53">
        <f t="shared" ref="N10" si="6">SUM(I10-M10)</f>
        <v>5597.9</v>
      </c>
      <c r="O10" s="60"/>
      <c r="P10" s="61">
        <v>5597.9</v>
      </c>
    </row>
    <row r="11" spans="1:17" x14ac:dyDescent="0.25">
      <c r="A11" s="50" t="s">
        <v>72</v>
      </c>
      <c r="B11" s="44">
        <f>1826.35+56.53</f>
        <v>1882.8799999999999</v>
      </c>
      <c r="C11" s="71">
        <v>1000</v>
      </c>
      <c r="D11" s="78"/>
      <c r="E11" s="78"/>
      <c r="F11" s="78"/>
      <c r="G11" s="78">
        <f>913.18+28.26+500</f>
        <v>1441.44</v>
      </c>
      <c r="H11" s="79"/>
      <c r="I11" s="41">
        <f t="shared" si="3"/>
        <v>4324.32</v>
      </c>
      <c r="J11" s="11">
        <v>53.35</v>
      </c>
      <c r="K11" s="11">
        <v>267.57</v>
      </c>
      <c r="L11" s="4">
        <f t="shared" si="0"/>
        <v>112.39999999999918</v>
      </c>
      <c r="M11" s="4">
        <f t="shared" si="1"/>
        <v>433.3199999999992</v>
      </c>
      <c r="N11" s="53">
        <f t="shared" si="2"/>
        <v>3891.0000000000005</v>
      </c>
      <c r="O11" s="60"/>
      <c r="P11" s="61">
        <v>3891</v>
      </c>
    </row>
    <row r="12" spans="1:17" x14ac:dyDescent="0.25">
      <c r="A12" s="50" t="s">
        <v>3</v>
      </c>
      <c r="B12" s="44">
        <f>1840.05+202.41</f>
        <v>2042.46</v>
      </c>
      <c r="C12" s="71"/>
      <c r="D12" s="78"/>
      <c r="E12" s="78">
        <f>560.01+61.6+207.2</f>
        <v>828.81</v>
      </c>
      <c r="F12" s="78"/>
      <c r="G12" s="78">
        <f>1200.03+132</f>
        <v>1332.03</v>
      </c>
      <c r="H12" s="79"/>
      <c r="I12" s="41">
        <f t="shared" si="3"/>
        <v>4203.3</v>
      </c>
      <c r="J12" s="11">
        <v>96.14</v>
      </c>
      <c r="K12" s="11">
        <f>183.06+83.12</f>
        <v>266.18</v>
      </c>
      <c r="L12" s="4">
        <f t="shared" si="0"/>
        <v>1625.1599999999999</v>
      </c>
      <c r="M12" s="4">
        <f t="shared" si="1"/>
        <v>1987.4799999999998</v>
      </c>
      <c r="N12" s="53">
        <f>SUM(I12-M12)+G12</f>
        <v>3547.8500000000004</v>
      </c>
      <c r="O12" s="60"/>
      <c r="P12" s="61">
        <v>2215.8200000000002</v>
      </c>
      <c r="Q12" s="1"/>
    </row>
    <row r="13" spans="1:17" x14ac:dyDescent="0.25">
      <c r="A13" s="50" t="s">
        <v>4</v>
      </c>
      <c r="B13" s="44">
        <f>2236.8+514.46</f>
        <v>2751.26</v>
      </c>
      <c r="C13" s="71"/>
      <c r="D13" s="78"/>
      <c r="E13" s="78">
        <f>680.76+156.58+279.11</f>
        <v>1116.45</v>
      </c>
      <c r="F13" s="78"/>
      <c r="G13" s="78">
        <f>1458.78+335.52</f>
        <v>1794.3</v>
      </c>
      <c r="H13" s="79"/>
      <c r="I13" s="41">
        <f t="shared" si="3"/>
        <v>5662.01</v>
      </c>
      <c r="J13" s="11">
        <f>28.55+278.81</f>
        <v>307.36</v>
      </c>
      <c r="K13" s="11">
        <f>277.02+123.39</f>
        <v>400.40999999999997</v>
      </c>
      <c r="L13" s="4">
        <f t="shared" si="0"/>
        <v>1845.1700000000005</v>
      </c>
      <c r="M13" s="4">
        <f t="shared" si="1"/>
        <v>2552.9400000000005</v>
      </c>
      <c r="N13" s="53">
        <f t="shared" si="2"/>
        <v>3109.0699999999997</v>
      </c>
      <c r="O13" s="60"/>
      <c r="P13" s="61">
        <v>3109.07</v>
      </c>
    </row>
    <row r="14" spans="1:17" x14ac:dyDescent="0.25">
      <c r="A14" s="50" t="s">
        <v>5</v>
      </c>
      <c r="B14" s="44">
        <f>11980.55+5930.37</f>
        <v>17910.919999999998</v>
      </c>
      <c r="C14" s="71">
        <f>4792.22+1198.06</f>
        <v>5990.2800000000007</v>
      </c>
      <c r="D14" s="78"/>
      <c r="E14" s="78"/>
      <c r="F14" s="78"/>
      <c r="G14" s="78">
        <f>5990.28+2965.19+599.03+2396.11</f>
        <v>11950.61</v>
      </c>
      <c r="H14" s="79"/>
      <c r="I14" s="41">
        <f t="shared" si="3"/>
        <v>35851.81</v>
      </c>
      <c r="J14" s="11">
        <v>5507.37</v>
      </c>
      <c r="K14" s="11">
        <v>713.08</v>
      </c>
      <c r="L14" s="4">
        <f>I14-J14-K14-P14</f>
        <v>104.48999999999796</v>
      </c>
      <c r="M14" s="4">
        <f t="shared" si="1"/>
        <v>6324.9399999999978</v>
      </c>
      <c r="N14" s="53">
        <f t="shared" si="2"/>
        <v>29526.87</v>
      </c>
      <c r="O14" s="60"/>
      <c r="P14" s="61">
        <v>29526.87</v>
      </c>
    </row>
    <row r="15" spans="1:17" x14ac:dyDescent="0.25">
      <c r="A15" s="50" t="s">
        <v>6</v>
      </c>
      <c r="B15" s="44">
        <f>10370.38+3608.89</f>
        <v>13979.269999999999</v>
      </c>
      <c r="C15" s="71">
        <v>2074.08</v>
      </c>
      <c r="D15" s="78"/>
      <c r="E15" s="78"/>
      <c r="F15" s="78"/>
      <c r="G15" s="78">
        <f>5185.19+1804.45+1037.04</f>
        <v>8026.6799999999994</v>
      </c>
      <c r="H15" s="79"/>
      <c r="I15" s="41">
        <f t="shared" si="3"/>
        <v>24080.03</v>
      </c>
      <c r="J15" s="11">
        <v>3297.08</v>
      </c>
      <c r="K15" s="11">
        <v>713.08</v>
      </c>
      <c r="L15" s="4">
        <f t="shared" ref="L15:L42" si="7">I15-J15-K15-P15</f>
        <v>232.49999999999636</v>
      </c>
      <c r="M15" s="4">
        <f t="shared" si="1"/>
        <v>4242.6599999999962</v>
      </c>
      <c r="N15" s="53">
        <f t="shared" si="2"/>
        <v>19837.370000000003</v>
      </c>
      <c r="O15" s="60"/>
      <c r="P15" s="61">
        <v>19837.37</v>
      </c>
    </row>
    <row r="16" spans="1:17" x14ac:dyDescent="0.25">
      <c r="A16" s="50" t="s">
        <v>7</v>
      </c>
      <c r="B16" s="44">
        <f>11980.55+3522.28</f>
        <v>15502.83</v>
      </c>
      <c r="C16" s="71">
        <v>4792.22</v>
      </c>
      <c r="D16" s="78"/>
      <c r="E16" s="78"/>
      <c r="F16" s="78">
        <f>798.7+234.82+451+319.48</f>
        <v>1804</v>
      </c>
      <c r="G16" s="78">
        <f>5990.28+1761.14+2396.11</f>
        <v>10147.530000000001</v>
      </c>
      <c r="H16" s="79"/>
      <c r="I16" s="41">
        <f t="shared" si="3"/>
        <v>32246.58</v>
      </c>
      <c r="J16" s="11">
        <v>4515.68</v>
      </c>
      <c r="K16" s="11">
        <v>713.08</v>
      </c>
      <c r="L16" s="4">
        <f t="shared" si="7"/>
        <v>1911.2000000000007</v>
      </c>
      <c r="M16" s="4">
        <f t="shared" si="1"/>
        <v>7139.9600000000009</v>
      </c>
      <c r="N16" s="53">
        <f t="shared" si="2"/>
        <v>25106.620000000003</v>
      </c>
      <c r="O16" s="60"/>
      <c r="P16" s="61">
        <v>25106.62</v>
      </c>
    </row>
    <row r="17" spans="1:16" x14ac:dyDescent="0.25">
      <c r="A17" s="50" t="s">
        <v>8</v>
      </c>
      <c r="B17" s="44">
        <f>2122.54+148.58</f>
        <v>2271.12</v>
      </c>
      <c r="C17" s="71"/>
      <c r="D17" s="78"/>
      <c r="E17" s="78">
        <f>151.61+10.61+54.08</f>
        <v>216.3</v>
      </c>
      <c r="F17" s="78"/>
      <c r="G17" s="78">
        <f>1137.08+79.6</f>
        <v>1216.6799999999998</v>
      </c>
      <c r="H17" s="79"/>
      <c r="I17" s="41">
        <f t="shared" si="3"/>
        <v>3704.1</v>
      </c>
      <c r="J17" s="11">
        <v>12.32</v>
      </c>
      <c r="K17" s="11">
        <f>202.82+17.3</f>
        <v>220.12</v>
      </c>
      <c r="L17" s="4">
        <f t="shared" si="7"/>
        <v>216.48999999999978</v>
      </c>
      <c r="M17" s="4">
        <f t="shared" si="1"/>
        <v>448.92999999999978</v>
      </c>
      <c r="N17" s="53">
        <f t="shared" si="2"/>
        <v>3255.17</v>
      </c>
      <c r="O17" s="60"/>
      <c r="P17" s="61">
        <v>3255.17</v>
      </c>
    </row>
    <row r="18" spans="1:16" x14ac:dyDescent="0.25">
      <c r="A18" s="50" t="s">
        <v>9</v>
      </c>
      <c r="B18" s="44">
        <f>1781.42+445.36</f>
        <v>2226.7800000000002</v>
      </c>
      <c r="C18" s="71"/>
      <c r="D18" s="78"/>
      <c r="E18" s="78"/>
      <c r="F18" s="78"/>
      <c r="G18" s="78">
        <f>890.71+222.68</f>
        <v>1113.3900000000001</v>
      </c>
      <c r="H18" s="79"/>
      <c r="I18" s="41">
        <f t="shared" si="3"/>
        <v>3340.17</v>
      </c>
      <c r="J18" s="11">
        <v>10.050000000000001</v>
      </c>
      <c r="K18" s="11">
        <v>188.84</v>
      </c>
      <c r="L18" s="4">
        <f t="shared" si="7"/>
        <v>113.42999999999984</v>
      </c>
      <c r="M18" s="4">
        <f t="shared" si="1"/>
        <v>312.31999999999982</v>
      </c>
      <c r="N18" s="53">
        <f t="shared" si="2"/>
        <v>3027.8500000000004</v>
      </c>
      <c r="O18" s="60"/>
      <c r="P18" s="61">
        <v>3027.85</v>
      </c>
    </row>
    <row r="19" spans="1:16" x14ac:dyDescent="0.25">
      <c r="A19" s="50" t="s">
        <v>82</v>
      </c>
      <c r="B19" s="44">
        <f>2669.57+26.7</f>
        <v>2696.27</v>
      </c>
      <c r="C19" s="71"/>
      <c r="D19" s="78"/>
      <c r="E19" s="78"/>
      <c r="F19" s="78"/>
      <c r="G19" s="78">
        <f>1334.79+13.35</f>
        <v>1348.1399999999999</v>
      </c>
      <c r="H19" s="79"/>
      <c r="I19" s="41">
        <f t="shared" si="3"/>
        <v>4044.41</v>
      </c>
      <c r="J19" s="11">
        <v>26.81</v>
      </c>
      <c r="K19" s="11">
        <v>245.18</v>
      </c>
      <c r="L19" s="4">
        <f t="shared" si="7"/>
        <v>268.53999999999996</v>
      </c>
      <c r="M19" s="4">
        <f t="shared" si="1"/>
        <v>540.53</v>
      </c>
      <c r="N19" s="53">
        <f t="shared" si="2"/>
        <v>3503.88</v>
      </c>
      <c r="O19" s="60"/>
      <c r="P19" s="61">
        <v>3503.88</v>
      </c>
    </row>
    <row r="20" spans="1:16" x14ac:dyDescent="0.25">
      <c r="A20" s="50" t="s">
        <v>10</v>
      </c>
      <c r="B20" s="44">
        <f>4188.38+653.39</f>
        <v>4841.7700000000004</v>
      </c>
      <c r="C20" s="71">
        <v>837.68</v>
      </c>
      <c r="D20" s="78"/>
      <c r="E20" s="78">
        <f>167.54+837.68+130.68+378.63</f>
        <v>1514.5299999999997</v>
      </c>
      <c r="F20" s="78"/>
      <c r="G20" s="78">
        <f>2513.03+392.03+502.61</f>
        <v>3407.6700000000005</v>
      </c>
      <c r="H20" s="79"/>
      <c r="I20" s="41">
        <f t="shared" si="3"/>
        <v>10601.650000000001</v>
      </c>
      <c r="J20" s="11">
        <f>127.7+306.69</f>
        <v>434.39</v>
      </c>
      <c r="K20" s="11">
        <f>303.77+409.31</f>
        <v>713.07999999999993</v>
      </c>
      <c r="L20" s="4">
        <f t="shared" si="7"/>
        <v>1847.7700000000023</v>
      </c>
      <c r="M20" s="4">
        <f t="shared" si="1"/>
        <v>2995.2400000000021</v>
      </c>
      <c r="N20" s="53">
        <f t="shared" si="2"/>
        <v>7606.41</v>
      </c>
      <c r="O20" s="60"/>
      <c r="P20" s="61">
        <v>7606.41</v>
      </c>
    </row>
    <row r="21" spans="1:16" x14ac:dyDescent="0.25">
      <c r="A21" s="50" t="s">
        <v>11</v>
      </c>
      <c r="B21" s="44">
        <f>2274.15+181.93</f>
        <v>2456.08</v>
      </c>
      <c r="C21" s="71"/>
      <c r="D21" s="78"/>
      <c r="E21" s="78"/>
      <c r="F21" s="78"/>
      <c r="G21" s="78">
        <f>1137.08+90.97</f>
        <v>1228.05</v>
      </c>
      <c r="H21" s="79"/>
      <c r="I21" s="41">
        <f t="shared" si="3"/>
        <v>3684.13</v>
      </c>
      <c r="J21" s="11">
        <v>25.18</v>
      </c>
      <c r="K21" s="11">
        <v>216.35</v>
      </c>
      <c r="L21" s="4">
        <f t="shared" si="7"/>
        <v>28.860000000000582</v>
      </c>
      <c r="M21" s="4">
        <f t="shared" si="1"/>
        <v>270.39000000000055</v>
      </c>
      <c r="N21" s="53">
        <f t="shared" si="2"/>
        <v>3413.74</v>
      </c>
      <c r="O21" s="60"/>
      <c r="P21" s="61">
        <v>3413.74</v>
      </c>
    </row>
    <row r="22" spans="1:16" x14ac:dyDescent="0.25">
      <c r="A22" s="50" t="s">
        <v>12</v>
      </c>
      <c r="B22" s="44">
        <f>13212.02+7451.58</f>
        <v>20663.599999999999</v>
      </c>
      <c r="C22" s="71">
        <v>17836.23</v>
      </c>
      <c r="D22" s="78"/>
      <c r="E22" s="78"/>
      <c r="F22" s="78"/>
      <c r="G22" s="78"/>
      <c r="H22" s="79"/>
      <c r="I22" s="41">
        <f t="shared" si="3"/>
        <v>38499.83</v>
      </c>
      <c r="J22" s="11">
        <v>9522</v>
      </c>
      <c r="K22" s="11">
        <v>713.08</v>
      </c>
      <c r="L22" s="4">
        <f t="shared" si="7"/>
        <v>263.86999999999898</v>
      </c>
      <c r="M22" s="4">
        <f t="shared" si="1"/>
        <v>10498.949999999999</v>
      </c>
      <c r="N22" s="53">
        <f t="shared" si="2"/>
        <v>28000.880000000005</v>
      </c>
      <c r="O22" s="60"/>
      <c r="P22" s="61">
        <v>28000.880000000001</v>
      </c>
    </row>
    <row r="23" spans="1:16" x14ac:dyDescent="0.25">
      <c r="A23" s="50" t="s">
        <v>13</v>
      </c>
      <c r="B23" s="44">
        <f>3993.52+1245.98</f>
        <v>5239.5</v>
      </c>
      <c r="C23" s="71">
        <v>798.7</v>
      </c>
      <c r="D23" s="78"/>
      <c r="E23" s="78">
        <f>1597.41+7987.03+2491.96+4025.46</f>
        <v>16101.86</v>
      </c>
      <c r="F23" s="78">
        <f>239.61+1198.06+373.79+603.82</f>
        <v>2415.2800000000002</v>
      </c>
      <c r="G23" s="78">
        <f>5990.28+1868.97+1198.06</f>
        <v>9057.31</v>
      </c>
      <c r="H23" s="79"/>
      <c r="I23" s="41">
        <f t="shared" si="3"/>
        <v>33612.65</v>
      </c>
      <c r="J23" s="11">
        <f>3310.42+739.01</f>
        <v>4049.4300000000003</v>
      </c>
      <c r="K23" s="11">
        <v>713.08</v>
      </c>
      <c r="L23" s="4">
        <f t="shared" si="7"/>
        <v>16638.64</v>
      </c>
      <c r="M23" s="4">
        <f t="shared" si="1"/>
        <v>21401.15</v>
      </c>
      <c r="N23" s="53">
        <f t="shared" si="2"/>
        <v>12211.5</v>
      </c>
      <c r="O23" s="60"/>
      <c r="P23" s="61">
        <v>12211.5</v>
      </c>
    </row>
    <row r="24" spans="1:16" x14ac:dyDescent="0.25">
      <c r="A24" s="50" t="s">
        <v>14</v>
      </c>
      <c r="B24" s="44">
        <f>5216.65+1147.66</f>
        <v>6364.3099999999995</v>
      </c>
      <c r="C24" s="71"/>
      <c r="D24" s="78"/>
      <c r="E24" s="78"/>
      <c r="F24" s="78"/>
      <c r="G24" s="78"/>
      <c r="H24" s="79"/>
      <c r="I24" s="41">
        <f t="shared" si="3"/>
        <v>6364.3099999999995</v>
      </c>
      <c r="J24" s="11">
        <v>580.45000000000005</v>
      </c>
      <c r="K24" s="11">
        <v>713.08</v>
      </c>
      <c r="L24" s="4">
        <f t="shared" si="7"/>
        <v>1333.56</v>
      </c>
      <c r="M24" s="4">
        <f t="shared" si="1"/>
        <v>2627.09</v>
      </c>
      <c r="N24" s="53">
        <f t="shared" si="2"/>
        <v>3737.2199999999993</v>
      </c>
      <c r="O24" s="60"/>
      <c r="P24" s="61">
        <v>3737.22</v>
      </c>
    </row>
    <row r="25" spans="1:16" x14ac:dyDescent="0.25">
      <c r="A25" s="50" t="s">
        <v>69</v>
      </c>
      <c r="B25" s="44">
        <f>2777.43+55.55</f>
        <v>2832.98</v>
      </c>
      <c r="C25" s="71"/>
      <c r="D25" s="78"/>
      <c r="E25" s="78"/>
      <c r="F25" s="78"/>
      <c r="G25" s="78">
        <f>1388.72+27.77</f>
        <v>1416.49</v>
      </c>
      <c r="H25" s="79"/>
      <c r="I25" s="41">
        <f t="shared" si="3"/>
        <v>4249.47</v>
      </c>
      <c r="J25" s="11">
        <v>50.05</v>
      </c>
      <c r="K25" s="11">
        <v>261.58</v>
      </c>
      <c r="L25" s="4">
        <f t="shared" si="7"/>
        <v>129.75</v>
      </c>
      <c r="M25" s="4">
        <f t="shared" si="1"/>
        <v>441.38</v>
      </c>
      <c r="N25" s="53">
        <f t="shared" si="2"/>
        <v>3808.09</v>
      </c>
      <c r="O25" s="60"/>
      <c r="P25" s="61">
        <v>3808.09</v>
      </c>
    </row>
    <row r="26" spans="1:16" x14ac:dyDescent="0.25">
      <c r="A26" s="50" t="s">
        <v>15</v>
      </c>
      <c r="B26" s="44">
        <f>5590.92+1744.37</f>
        <v>7335.29</v>
      </c>
      <c r="C26" s="71">
        <v>1118.18</v>
      </c>
      <c r="D26" s="78"/>
      <c r="E26" s="78">
        <f>1277.93+6389.62+1993.57+3220.37</f>
        <v>12881.490000000002</v>
      </c>
      <c r="F26" s="78"/>
      <c r="G26" s="78">
        <f>5990.28+1868.97+1198.06</f>
        <v>9057.31</v>
      </c>
      <c r="H26" s="79"/>
      <c r="I26" s="41">
        <f t="shared" si="3"/>
        <v>30392.269999999997</v>
      </c>
      <c r="J26" s="11">
        <f>1363.99+3310.41</f>
        <v>4674.3999999999996</v>
      </c>
      <c r="K26" s="11">
        <v>713.08</v>
      </c>
      <c r="L26" s="4">
        <f t="shared" si="7"/>
        <v>14067.799999999994</v>
      </c>
      <c r="M26" s="4">
        <f t="shared" si="1"/>
        <v>19455.279999999992</v>
      </c>
      <c r="N26" s="53">
        <f t="shared" si="2"/>
        <v>10936.990000000005</v>
      </c>
      <c r="O26" s="60"/>
      <c r="P26" s="61">
        <v>10936.99</v>
      </c>
    </row>
    <row r="27" spans="1:16" x14ac:dyDescent="0.25">
      <c r="A27" s="50" t="s">
        <v>16</v>
      </c>
      <c r="B27" s="44">
        <f>5216.65+1512.83</f>
        <v>6729.48</v>
      </c>
      <c r="C27" s="71"/>
      <c r="D27" s="78"/>
      <c r="E27" s="78"/>
      <c r="F27" s="78"/>
      <c r="G27" s="78"/>
      <c r="H27" s="79"/>
      <c r="I27" s="41">
        <f t="shared" si="3"/>
        <v>6729.48</v>
      </c>
      <c r="J27" s="11">
        <v>680.88</v>
      </c>
      <c r="K27" s="11">
        <v>713.08</v>
      </c>
      <c r="L27" s="4">
        <f t="shared" si="7"/>
        <v>58.289999999999964</v>
      </c>
      <c r="M27" s="4">
        <f t="shared" si="1"/>
        <v>1452.25</v>
      </c>
      <c r="N27" s="53">
        <f>SUM(I27-M27)+G27</f>
        <v>5277.23</v>
      </c>
      <c r="O27" s="60"/>
      <c r="P27" s="61">
        <v>5277.23</v>
      </c>
    </row>
    <row r="28" spans="1:16" x14ac:dyDescent="0.25">
      <c r="A28" s="50" t="s">
        <v>17</v>
      </c>
      <c r="B28" s="44">
        <f>3269.48+196.17</f>
        <v>3465.65</v>
      </c>
      <c r="C28" s="71"/>
      <c r="D28" s="78"/>
      <c r="E28" s="78">
        <f>3736.55+224.19+1320.24</f>
        <v>5280.9800000000005</v>
      </c>
      <c r="F28" s="78"/>
      <c r="G28" s="78">
        <f>3503.02+210.18</f>
        <v>3713.2</v>
      </c>
      <c r="H28" s="79"/>
      <c r="I28" s="41">
        <f t="shared" si="3"/>
        <v>12459.830000000002</v>
      </c>
      <c r="J28" s="11">
        <f>148.16+659.11</f>
        <v>807.27</v>
      </c>
      <c r="K28" s="11">
        <v>713.08</v>
      </c>
      <c r="L28" s="4">
        <f t="shared" si="7"/>
        <v>4097.5600000000013</v>
      </c>
      <c r="M28" s="4">
        <f t="shared" si="1"/>
        <v>5617.9100000000017</v>
      </c>
      <c r="N28" s="53">
        <f t="shared" si="2"/>
        <v>6841.92</v>
      </c>
      <c r="O28" s="60"/>
      <c r="P28" s="61">
        <v>6841.92</v>
      </c>
    </row>
    <row r="29" spans="1:16" x14ac:dyDescent="0.25">
      <c r="A29" s="50" t="s">
        <v>18</v>
      </c>
      <c r="B29" s="45">
        <f>2187.52+175</f>
        <v>2362.52</v>
      </c>
      <c r="C29" s="72"/>
      <c r="D29" s="78"/>
      <c r="E29" s="78"/>
      <c r="F29" s="78"/>
      <c r="G29" s="78">
        <f>1093.76+87.5</f>
        <v>1181.26</v>
      </c>
      <c r="H29" s="79"/>
      <c r="I29" s="41">
        <f t="shared" si="3"/>
        <v>3543.7799999999997</v>
      </c>
      <c r="J29" s="11">
        <v>19</v>
      </c>
      <c r="K29" s="11">
        <v>205.13</v>
      </c>
      <c r="L29" s="4">
        <f t="shared" si="7"/>
        <v>191.24999999999955</v>
      </c>
      <c r="M29" s="4">
        <f t="shared" si="1"/>
        <v>415.37999999999954</v>
      </c>
      <c r="N29" s="53">
        <f t="shared" si="2"/>
        <v>3128.4</v>
      </c>
      <c r="O29" s="60"/>
      <c r="P29" s="61">
        <v>3128.4</v>
      </c>
    </row>
    <row r="30" spans="1:16" x14ac:dyDescent="0.25">
      <c r="A30" s="50" t="s">
        <v>19</v>
      </c>
      <c r="B30" s="44">
        <f>4294.59+1058.92</f>
        <v>5353.51</v>
      </c>
      <c r="C30" s="71">
        <v>1000</v>
      </c>
      <c r="D30" s="78"/>
      <c r="E30" s="78"/>
      <c r="F30" s="78"/>
      <c r="G30" s="78"/>
      <c r="H30" s="79"/>
      <c r="I30" s="41">
        <f t="shared" si="3"/>
        <v>6353.51</v>
      </c>
      <c r="J30" s="11">
        <v>577.48</v>
      </c>
      <c r="K30" s="11">
        <v>713.08</v>
      </c>
      <c r="L30" s="4">
        <f t="shared" si="7"/>
        <v>645.40000000000055</v>
      </c>
      <c r="M30" s="4">
        <f t="shared" si="1"/>
        <v>1935.9600000000005</v>
      </c>
      <c r="N30" s="53">
        <f t="shared" si="2"/>
        <v>4417.5499999999993</v>
      </c>
      <c r="O30" s="60"/>
      <c r="P30" s="61">
        <v>4417.55</v>
      </c>
    </row>
    <row r="31" spans="1:16" x14ac:dyDescent="0.25">
      <c r="A31" s="50" t="s">
        <v>20</v>
      </c>
      <c r="B31" s="44">
        <f>4748.06+1424.42</f>
        <v>6172.4800000000005</v>
      </c>
      <c r="C31" s="71"/>
      <c r="D31" s="78"/>
      <c r="E31" s="78"/>
      <c r="F31" s="78"/>
      <c r="G31" s="78">
        <f>2374.03+712.21</f>
        <v>3086.2400000000002</v>
      </c>
      <c r="H31" s="79"/>
      <c r="I31" s="41">
        <f t="shared" si="3"/>
        <v>9258.7200000000012</v>
      </c>
      <c r="J31" s="11">
        <v>631.97</v>
      </c>
      <c r="K31" s="11">
        <v>713.08</v>
      </c>
      <c r="L31" s="4">
        <f t="shared" si="7"/>
        <v>216.38000000000193</v>
      </c>
      <c r="M31" s="4">
        <f t="shared" si="1"/>
        <v>1561.4300000000021</v>
      </c>
      <c r="N31" s="53">
        <f t="shared" si="2"/>
        <v>7697.2899999999991</v>
      </c>
      <c r="O31" s="60"/>
      <c r="P31" s="61">
        <v>7697.29</v>
      </c>
    </row>
    <row r="32" spans="1:16" x14ac:dyDescent="0.25">
      <c r="A32" s="50" t="s">
        <v>21</v>
      </c>
      <c r="B32" s="44">
        <f>3776.87+1095.29</f>
        <v>4872.16</v>
      </c>
      <c r="C32" s="71"/>
      <c r="D32" s="78"/>
      <c r="E32" s="78">
        <f>1888.43+547.65+812.03</f>
        <v>3248.1099999999997</v>
      </c>
      <c r="F32" s="78"/>
      <c r="G32" s="78">
        <f>2832.65+821.47</f>
        <v>3654.12</v>
      </c>
      <c r="H32" s="79"/>
      <c r="I32" s="41">
        <f t="shared" si="3"/>
        <v>11774.39</v>
      </c>
      <c r="J32" s="11">
        <v>380.82</v>
      </c>
      <c r="K32" s="11">
        <v>713.08</v>
      </c>
      <c r="L32" s="4">
        <f t="shared" si="7"/>
        <v>4268.59</v>
      </c>
      <c r="M32" s="4">
        <f t="shared" si="1"/>
        <v>5362.49</v>
      </c>
      <c r="N32" s="53">
        <f t="shared" si="2"/>
        <v>6411.9</v>
      </c>
      <c r="O32" s="60"/>
      <c r="P32" s="61">
        <v>6411.9</v>
      </c>
    </row>
    <row r="33" spans="1:16" x14ac:dyDescent="0.25">
      <c r="A33" s="50" t="s">
        <v>74</v>
      </c>
      <c r="B33" s="44">
        <f>4441.25+88.83</f>
        <v>4530.08</v>
      </c>
      <c r="C33" s="71"/>
      <c r="D33" s="78"/>
      <c r="E33" s="78"/>
      <c r="F33" s="78"/>
      <c r="G33" s="78">
        <f>2220.63+44.41</f>
        <v>2265.04</v>
      </c>
      <c r="H33" s="79"/>
      <c r="I33" s="41">
        <f t="shared" si="3"/>
        <v>6795.12</v>
      </c>
      <c r="J33" s="11">
        <v>272.18</v>
      </c>
      <c r="K33" s="11">
        <v>493.15</v>
      </c>
      <c r="L33" s="4">
        <f t="shared" ref="L33" si="8">I33-J33-K33-P33</f>
        <v>85.470000000000255</v>
      </c>
      <c r="M33" s="4">
        <f t="shared" ref="M33" si="9">SUM(J33:L33)</f>
        <v>850.80000000000018</v>
      </c>
      <c r="N33" s="53">
        <f>SUM(I33-M33)+G33</f>
        <v>8209.36</v>
      </c>
      <c r="O33" s="60"/>
      <c r="P33" s="61">
        <v>5944.32</v>
      </c>
    </row>
    <row r="34" spans="1:16" x14ac:dyDescent="0.25">
      <c r="A34" s="50" t="s">
        <v>22</v>
      </c>
      <c r="B34" s="44">
        <f>1719.23+343.42</f>
        <v>2062.65</v>
      </c>
      <c r="C34" s="71"/>
      <c r="D34" s="78"/>
      <c r="E34" s="78"/>
      <c r="F34" s="78"/>
      <c r="G34" s="78"/>
      <c r="H34" s="79"/>
      <c r="I34" s="41">
        <f t="shared" si="3"/>
        <v>2062.65</v>
      </c>
      <c r="J34" s="11"/>
      <c r="K34" s="11">
        <v>169.76</v>
      </c>
      <c r="L34" s="4">
        <f t="shared" si="7"/>
        <v>127.46000000000004</v>
      </c>
      <c r="M34" s="4">
        <f t="shared" si="1"/>
        <v>297.22000000000003</v>
      </c>
      <c r="N34" s="53">
        <f>SUM(I34-M34)+G34</f>
        <v>1765.43</v>
      </c>
      <c r="O34" s="60"/>
      <c r="P34" s="61">
        <v>1765.43</v>
      </c>
    </row>
    <row r="35" spans="1:16" x14ac:dyDescent="0.25">
      <c r="A35" s="50" t="s">
        <v>23</v>
      </c>
      <c r="B35" s="44">
        <f>2510.55+331.39</f>
        <v>2841.94</v>
      </c>
      <c r="C35" s="71">
        <v>502.11</v>
      </c>
      <c r="D35" s="78"/>
      <c r="E35" s="78">
        <f>502.11+2510.55+331.39+1114.68</f>
        <v>4458.7300000000005</v>
      </c>
      <c r="F35" s="78"/>
      <c r="G35" s="78">
        <f>2510.55+331.39+502.11</f>
        <v>3344.05</v>
      </c>
      <c r="H35" s="79"/>
      <c r="I35" s="41">
        <f t="shared" si="3"/>
        <v>11146.830000000002</v>
      </c>
      <c r="J35" s="11">
        <f>112.32+258.37</f>
        <v>370.69</v>
      </c>
      <c r="K35" s="11">
        <f>229.92+483.16</f>
        <v>713.08</v>
      </c>
      <c r="L35" s="4">
        <f t="shared" si="7"/>
        <v>3783.2600000000011</v>
      </c>
      <c r="M35" s="4">
        <f t="shared" si="1"/>
        <v>4867.0300000000007</v>
      </c>
      <c r="N35" s="53">
        <f t="shared" si="2"/>
        <v>6279.8000000000011</v>
      </c>
      <c r="O35" s="60"/>
      <c r="P35" s="61">
        <v>6279.8</v>
      </c>
    </row>
    <row r="36" spans="1:16" x14ac:dyDescent="0.25">
      <c r="A36" s="50" t="s">
        <v>24</v>
      </c>
      <c r="B36" s="44">
        <f>6788.98+2118.16</f>
        <v>8907.14</v>
      </c>
      <c r="C36" s="71">
        <v>1357.8</v>
      </c>
      <c r="D36" s="78"/>
      <c r="E36" s="78">
        <f>1038.32+5191.57+1619.77+2616.55</f>
        <v>10466.209999999999</v>
      </c>
      <c r="F36" s="78">
        <f>798.7+3993.52+1245.98+2012.73</f>
        <v>8050.93</v>
      </c>
      <c r="G36" s="78">
        <f>5990.28+1868.97+1198.06</f>
        <v>9057.31</v>
      </c>
      <c r="H36" s="79"/>
      <c r="I36" s="41">
        <f t="shared" si="3"/>
        <v>37839.39</v>
      </c>
      <c r="J36" s="11">
        <v>1832.73</v>
      </c>
      <c r="K36" s="11">
        <v>713.08</v>
      </c>
      <c r="L36" s="4">
        <f t="shared" si="7"/>
        <v>18575.159999999996</v>
      </c>
      <c r="M36" s="4">
        <f t="shared" si="1"/>
        <v>21120.969999999998</v>
      </c>
      <c r="N36" s="53">
        <f>SUM(I36-M36)+G36</f>
        <v>25775.730000000003</v>
      </c>
      <c r="O36" s="60"/>
      <c r="P36" s="61">
        <v>16718.419999999998</v>
      </c>
    </row>
    <row r="37" spans="1:16" x14ac:dyDescent="0.25">
      <c r="A37" s="50" t="s">
        <v>25</v>
      </c>
      <c r="B37" s="44">
        <f>6788.98+1955.23</f>
        <v>8744.2099999999991</v>
      </c>
      <c r="C37" s="71">
        <v>1357.8</v>
      </c>
      <c r="D37" s="78"/>
      <c r="E37" s="78">
        <f>1038.32+5191.57+1432.87+2554.25</f>
        <v>10217.009999999998</v>
      </c>
      <c r="F37" s="78">
        <f>798.7+3993.52+1102.21+1964.81</f>
        <v>7859.24</v>
      </c>
      <c r="G37" s="78"/>
      <c r="H37" s="79"/>
      <c r="I37" s="41">
        <f t="shared" si="3"/>
        <v>28178.259999999995</v>
      </c>
      <c r="J37" s="11">
        <v>1787.92</v>
      </c>
      <c r="K37" s="11">
        <v>713.08</v>
      </c>
      <c r="L37" s="4">
        <f t="shared" si="7"/>
        <v>17738.679999999993</v>
      </c>
      <c r="M37" s="4">
        <f t="shared" si="1"/>
        <v>20239.679999999993</v>
      </c>
      <c r="N37" s="53">
        <f t="shared" si="2"/>
        <v>7938.5800000000017</v>
      </c>
      <c r="O37" s="60"/>
      <c r="P37" s="61">
        <v>7938.58</v>
      </c>
    </row>
    <row r="38" spans="1:16" x14ac:dyDescent="0.25">
      <c r="A38" s="50" t="s">
        <v>75</v>
      </c>
      <c r="B38" s="44">
        <f>1642.51+197.1</f>
        <v>1839.61</v>
      </c>
      <c r="C38" s="71">
        <v>328.5</v>
      </c>
      <c r="D38" s="78"/>
      <c r="E38" s="78">
        <f>657+3285.01+394.2+1445.4</f>
        <v>5781.6100000000006</v>
      </c>
      <c r="F38" s="78"/>
      <c r="G38" s="78"/>
      <c r="H38" s="79"/>
      <c r="I38" s="41">
        <f t="shared" si="3"/>
        <v>7949.72</v>
      </c>
      <c r="J38" s="11">
        <f>16.45+536.78</f>
        <v>553.23</v>
      </c>
      <c r="K38" s="11">
        <v>713.08</v>
      </c>
      <c r="L38" s="4">
        <f t="shared" si="7"/>
        <v>4769.05</v>
      </c>
      <c r="M38" s="4">
        <f t="shared" si="1"/>
        <v>6035.3600000000006</v>
      </c>
      <c r="N38" s="53">
        <f t="shared" si="2"/>
        <v>1914.3599999999997</v>
      </c>
      <c r="O38" s="60"/>
      <c r="P38" s="61">
        <v>1914.36</v>
      </c>
    </row>
    <row r="39" spans="1:16" x14ac:dyDescent="0.25">
      <c r="A39" s="50" t="s">
        <v>26</v>
      </c>
      <c r="B39" s="44">
        <f>1552.55+111.78</f>
        <v>1664.33</v>
      </c>
      <c r="C39" s="71">
        <v>310.51</v>
      </c>
      <c r="D39" s="78"/>
      <c r="E39" s="78">
        <f>621.02+3105.1+223.57+1316.56</f>
        <v>5266.25</v>
      </c>
      <c r="F39" s="78"/>
      <c r="G39" s="78"/>
      <c r="H39" s="79"/>
      <c r="I39" s="41">
        <f t="shared" si="3"/>
        <v>7241.09</v>
      </c>
      <c r="J39" s="11">
        <f>329.31</f>
        <v>329.31</v>
      </c>
      <c r="K39" s="11">
        <f>116.87+596.21</f>
        <v>713.08</v>
      </c>
      <c r="L39" s="4">
        <f t="shared" si="7"/>
        <v>5749.7199999999993</v>
      </c>
      <c r="M39" s="4">
        <f t="shared" si="1"/>
        <v>6792.11</v>
      </c>
      <c r="N39" s="53">
        <f>SUM(I39-M39)+G39</f>
        <v>448.98000000000047</v>
      </c>
      <c r="O39" s="60"/>
      <c r="P39" s="61">
        <v>448.98</v>
      </c>
    </row>
    <row r="40" spans="1:16" x14ac:dyDescent="0.25">
      <c r="A40" s="50" t="s">
        <v>71</v>
      </c>
      <c r="B40" s="44">
        <f>426.15+8.52</f>
        <v>434.66999999999996</v>
      </c>
      <c r="C40" s="71"/>
      <c r="D40" s="78"/>
      <c r="E40" s="78">
        <f>1400.2+28+476.07</f>
        <v>1904.27</v>
      </c>
      <c r="F40" s="78"/>
      <c r="G40" s="78">
        <f>913.18+18.26</f>
        <v>931.43999999999994</v>
      </c>
      <c r="H40" s="79"/>
      <c r="I40" s="41">
        <f t="shared" si="3"/>
        <v>3270.38</v>
      </c>
      <c r="J40" s="11"/>
      <c r="K40" s="11">
        <f>45.35+156.95</f>
        <v>202.29999999999998</v>
      </c>
      <c r="L40" s="4">
        <f t="shared" ref="L40" si="10">I40-J40-K40-P40</f>
        <v>1762.57</v>
      </c>
      <c r="M40" s="4">
        <f t="shared" ref="M40" si="11">SUM(J40:L40)</f>
        <v>1964.87</v>
      </c>
      <c r="N40" s="53">
        <f t="shared" ref="N40" si="12">SUM(I40-M40)</f>
        <v>1305.5100000000002</v>
      </c>
      <c r="O40" s="60"/>
      <c r="P40" s="61">
        <v>1305.51</v>
      </c>
    </row>
    <row r="41" spans="1:16" x14ac:dyDescent="0.25">
      <c r="A41" s="50" t="s">
        <v>27</v>
      </c>
      <c r="B41" s="44">
        <f>2535.57+278.91</f>
        <v>2814.48</v>
      </c>
      <c r="C41" s="71"/>
      <c r="D41" s="78"/>
      <c r="E41" s="78">
        <f>181.11+19.92+67.01</f>
        <v>268.04000000000002</v>
      </c>
      <c r="F41" s="78"/>
      <c r="G41" s="78">
        <f>1358.34+149.42</f>
        <v>1507.76</v>
      </c>
      <c r="H41" s="79"/>
      <c r="I41" s="41">
        <f t="shared" si="3"/>
        <v>4590.28</v>
      </c>
      <c r="J41" s="11">
        <v>48.07</v>
      </c>
      <c r="K41" s="11">
        <f>269.5+22.03</f>
        <v>291.52999999999997</v>
      </c>
      <c r="L41" s="4">
        <f t="shared" si="7"/>
        <v>1071.9600000000005</v>
      </c>
      <c r="M41" s="4">
        <f t="shared" si="1"/>
        <v>1411.5600000000004</v>
      </c>
      <c r="N41" s="53">
        <f t="shared" si="2"/>
        <v>3178.7199999999993</v>
      </c>
      <c r="O41" s="60"/>
      <c r="P41" s="61">
        <v>3178.72</v>
      </c>
    </row>
    <row r="42" spans="1:16" ht="15.75" thickBot="1" x14ac:dyDescent="0.3">
      <c r="A42" s="50" t="s">
        <v>28</v>
      </c>
      <c r="B42" s="46">
        <f>6788.98+2036.69</f>
        <v>8825.67</v>
      </c>
      <c r="C42" s="73">
        <v>1357.8</v>
      </c>
      <c r="D42" s="78"/>
      <c r="E42" s="78">
        <f>1038.32+5191.57+1557.47+2595.78</f>
        <v>10383.14</v>
      </c>
      <c r="F42" s="78"/>
      <c r="G42" s="78"/>
      <c r="H42" s="79"/>
      <c r="I42" s="42">
        <f>SUM(B42:H42)</f>
        <v>20566.61</v>
      </c>
      <c r="J42" s="11">
        <v>1758.19</v>
      </c>
      <c r="K42" s="11">
        <v>713.08</v>
      </c>
      <c r="L42" s="4">
        <f t="shared" si="7"/>
        <v>9982.76</v>
      </c>
      <c r="M42" s="4">
        <f t="shared" si="1"/>
        <v>12454.03</v>
      </c>
      <c r="N42" s="54">
        <f t="shared" si="2"/>
        <v>8112.58</v>
      </c>
      <c r="O42" s="60"/>
      <c r="P42" s="61">
        <v>8112.58</v>
      </c>
    </row>
    <row r="43" spans="1:16" x14ac:dyDescent="0.25">
      <c r="A43" s="85" t="s">
        <v>58</v>
      </c>
      <c r="B43" s="87" t="s">
        <v>48</v>
      </c>
      <c r="C43" s="91" t="s">
        <v>87</v>
      </c>
      <c r="D43" s="89" t="s">
        <v>49</v>
      </c>
      <c r="E43" s="89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108" t="s">
        <v>52</v>
      </c>
      <c r="K43" s="108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86"/>
      <c r="B44" s="88"/>
      <c r="C44" s="92"/>
      <c r="D44" s="90"/>
      <c r="E44" s="90"/>
      <c r="F44" s="67" t="s">
        <v>90</v>
      </c>
      <c r="G44" s="69" t="s">
        <v>67</v>
      </c>
      <c r="H44" s="37" t="s">
        <v>64</v>
      </c>
      <c r="I44" s="57" t="s">
        <v>51</v>
      </c>
      <c r="J44" s="109"/>
      <c r="K44" s="109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f>621.41+62.14</f>
        <v>683.55</v>
      </c>
      <c r="C45" s="74"/>
      <c r="D45" s="78"/>
      <c r="E45" s="78">
        <f>1242.82+124.28+455.7</f>
        <v>1822.8</v>
      </c>
      <c r="F45" s="78"/>
      <c r="G45" s="78">
        <f>932.12+93.21</f>
        <v>1025.33</v>
      </c>
      <c r="H45" s="79"/>
      <c r="I45" s="47">
        <f>SUM(B45:H45)</f>
        <v>3531.68</v>
      </c>
      <c r="J45" s="11"/>
      <c r="K45" s="11">
        <f>74.02+148.37</f>
        <v>222.39</v>
      </c>
      <c r="L45" s="4">
        <f t="shared" ref="L45:L66" si="13">I45-J45-K45-P45</f>
        <v>2428.98</v>
      </c>
      <c r="M45" s="4">
        <f t="shared" si="1"/>
        <v>2651.37</v>
      </c>
      <c r="N45" s="55">
        <f t="shared" si="2"/>
        <v>880.31</v>
      </c>
      <c r="O45" s="60"/>
      <c r="P45" s="61">
        <v>880.31</v>
      </c>
    </row>
    <row r="46" spans="1:16" x14ac:dyDescent="0.25">
      <c r="A46" s="50" t="s">
        <v>30</v>
      </c>
      <c r="B46" s="44">
        <f>3491.92+698.38</f>
        <v>4190.3</v>
      </c>
      <c r="C46" s="71"/>
      <c r="D46" s="78"/>
      <c r="E46" s="78"/>
      <c r="F46" s="78"/>
      <c r="G46" s="78">
        <f>1745.96+349.19</f>
        <v>2095.15</v>
      </c>
      <c r="H46" s="80"/>
      <c r="I46" s="41">
        <f>SUM(B46:H46)</f>
        <v>6285.4500000000007</v>
      </c>
      <c r="J46" s="11">
        <v>206.91</v>
      </c>
      <c r="K46" s="11">
        <v>445.58</v>
      </c>
      <c r="L46" s="4">
        <f t="shared" si="13"/>
        <v>437.01000000000113</v>
      </c>
      <c r="M46" s="4">
        <f t="shared" si="1"/>
        <v>1089.5000000000011</v>
      </c>
      <c r="N46" s="53">
        <f t="shared" si="2"/>
        <v>5195.95</v>
      </c>
      <c r="O46" s="60"/>
      <c r="P46" s="61">
        <v>5195.95</v>
      </c>
    </row>
    <row r="47" spans="1:16" x14ac:dyDescent="0.25">
      <c r="A47" s="50" t="s">
        <v>31</v>
      </c>
      <c r="B47" s="44">
        <f>7858.53+1021.61</f>
        <v>8880.14</v>
      </c>
      <c r="C47" s="71"/>
      <c r="D47" s="78"/>
      <c r="E47" s="78"/>
      <c r="F47" s="78"/>
      <c r="G47" s="78">
        <f>3929.27+510.81</f>
        <v>4440.08</v>
      </c>
      <c r="H47" s="80">
        <v>7367.38</v>
      </c>
      <c r="I47" s="41">
        <f t="shared" ref="I47:I65" si="14">SUM(B47:H47)</f>
        <v>20687.599999999999</v>
      </c>
      <c r="J47" s="11">
        <v>3350.47</v>
      </c>
      <c r="K47" s="11">
        <v>713.08</v>
      </c>
      <c r="L47" s="4">
        <f t="shared" si="13"/>
        <v>702.80999999999585</v>
      </c>
      <c r="M47" s="4">
        <f t="shared" si="1"/>
        <v>4766.3599999999951</v>
      </c>
      <c r="N47" s="53">
        <f t="shared" si="2"/>
        <v>15921.240000000003</v>
      </c>
      <c r="O47" s="60"/>
      <c r="P47" s="61">
        <v>15921.24</v>
      </c>
    </row>
    <row r="48" spans="1:16" x14ac:dyDescent="0.25">
      <c r="A48" s="50" t="s">
        <v>32</v>
      </c>
      <c r="B48" s="44">
        <f>5288.3+1702.83</f>
        <v>6991.13</v>
      </c>
      <c r="C48" s="71">
        <v>2115.3200000000002</v>
      </c>
      <c r="D48" s="78"/>
      <c r="E48" s="78"/>
      <c r="F48" s="78"/>
      <c r="G48" s="78">
        <f>2644.15+851.42+1057.66</f>
        <v>4553.2300000000005</v>
      </c>
      <c r="H48" s="80"/>
      <c r="I48" s="41">
        <f t="shared" si="14"/>
        <v>13659.68</v>
      </c>
      <c r="J48" s="11">
        <v>1334.54</v>
      </c>
      <c r="K48" s="11">
        <f>550.64+162.44</f>
        <v>713.07999999999993</v>
      </c>
      <c r="L48" s="4">
        <f>I48-J48-K48-P48</f>
        <v>834.30999999999949</v>
      </c>
      <c r="M48" s="4">
        <f>SUM(J48:L48)</f>
        <v>2881.9299999999994</v>
      </c>
      <c r="N48" s="53">
        <f t="shared" si="2"/>
        <v>10777.75</v>
      </c>
      <c r="O48" s="60"/>
      <c r="P48" s="61">
        <v>10777.75</v>
      </c>
    </row>
    <row r="49" spans="1:16" x14ac:dyDescent="0.25">
      <c r="A49" s="50" t="s">
        <v>33</v>
      </c>
      <c r="B49" s="44">
        <f>4927.52+767.28</f>
        <v>5694.8</v>
      </c>
      <c r="C49" s="71">
        <v>983.7</v>
      </c>
      <c r="D49" s="78"/>
      <c r="E49" s="78"/>
      <c r="F49" s="78"/>
      <c r="G49" s="78"/>
      <c r="H49" s="80"/>
      <c r="I49" s="41">
        <f t="shared" si="14"/>
        <v>6678.5</v>
      </c>
      <c r="J49" s="11">
        <v>664.37</v>
      </c>
      <c r="K49" s="11">
        <f>599.41+113.67</f>
        <v>713.07999999999993</v>
      </c>
      <c r="L49" s="4">
        <f t="shared" si="13"/>
        <v>479.42000000000007</v>
      </c>
      <c r="M49" s="4">
        <f t="shared" si="1"/>
        <v>1856.87</v>
      </c>
      <c r="N49" s="53">
        <f t="shared" si="2"/>
        <v>4821.63</v>
      </c>
      <c r="O49" s="60"/>
      <c r="P49" s="61">
        <v>4821.63</v>
      </c>
    </row>
    <row r="50" spans="1:16" x14ac:dyDescent="0.25">
      <c r="A50" s="50" t="s">
        <v>34</v>
      </c>
      <c r="B50" s="44">
        <f>5414.85+1462.01</f>
        <v>6876.8600000000006</v>
      </c>
      <c r="C50" s="71"/>
      <c r="D50" s="78"/>
      <c r="E50" s="78"/>
      <c r="F50" s="78"/>
      <c r="G50" s="78">
        <f>2707.43+731.01</f>
        <v>3438.4399999999996</v>
      </c>
      <c r="H50" s="80"/>
      <c r="I50" s="41">
        <f t="shared" si="14"/>
        <v>10315.299999999999</v>
      </c>
      <c r="J50" s="11">
        <v>773.54</v>
      </c>
      <c r="K50" s="11">
        <v>713.08</v>
      </c>
      <c r="L50" s="4">
        <f t="shared" si="13"/>
        <v>785.46999999999844</v>
      </c>
      <c r="M50" s="4">
        <f t="shared" si="1"/>
        <v>2272.0899999999983</v>
      </c>
      <c r="N50" s="53">
        <f>SUM(I50-M50)+G50</f>
        <v>11481.650000000001</v>
      </c>
      <c r="O50" s="60"/>
      <c r="P50" s="61">
        <v>8043.21</v>
      </c>
    </row>
    <row r="51" spans="1:16" x14ac:dyDescent="0.25">
      <c r="A51" s="50" t="s">
        <v>35</v>
      </c>
      <c r="B51" s="44">
        <f>4927.52+591.3</f>
        <v>5518.8200000000006</v>
      </c>
      <c r="C51" s="71">
        <v>985.5</v>
      </c>
      <c r="D51" s="78"/>
      <c r="E51" s="78"/>
      <c r="F51" s="78"/>
      <c r="G51" s="78">
        <f>2463.76+295.65</f>
        <v>2759.4100000000003</v>
      </c>
      <c r="H51" s="80"/>
      <c r="I51" s="41">
        <f t="shared" si="14"/>
        <v>9263.7300000000014</v>
      </c>
      <c r="J51" s="11">
        <v>671.09</v>
      </c>
      <c r="K51" s="11">
        <v>713.08</v>
      </c>
      <c r="L51" s="4">
        <f t="shared" si="13"/>
        <v>822.50000000000091</v>
      </c>
      <c r="M51" s="4">
        <f t="shared" si="1"/>
        <v>2206.670000000001</v>
      </c>
      <c r="N51" s="53">
        <f>SUM(I51-M51)+G51</f>
        <v>9816.4700000000012</v>
      </c>
      <c r="O51" s="60"/>
      <c r="P51" s="61">
        <v>7057.06</v>
      </c>
    </row>
    <row r="52" spans="1:16" x14ac:dyDescent="0.25">
      <c r="A52" s="50" t="s">
        <v>36</v>
      </c>
      <c r="B52" s="44">
        <f>3517.57+386.93</f>
        <v>3904.5</v>
      </c>
      <c r="C52" s="71"/>
      <c r="D52" s="78"/>
      <c r="E52" s="78">
        <f>251.26+27.64+92.96</f>
        <v>371.85999999999996</v>
      </c>
      <c r="F52" s="78"/>
      <c r="G52" s="78">
        <f>1884.42+207.29</f>
        <v>2091.71</v>
      </c>
      <c r="H52" s="80"/>
      <c r="I52" s="41">
        <f t="shared" si="14"/>
        <v>6368.07</v>
      </c>
      <c r="J52" s="11">
        <f>111.05+89.18</f>
        <v>200.23000000000002</v>
      </c>
      <c r="K52" s="11">
        <f>419.68+37.95</f>
        <v>457.63</v>
      </c>
      <c r="L52" s="4">
        <f t="shared" si="13"/>
        <v>1241.0500000000002</v>
      </c>
      <c r="M52" s="4">
        <f t="shared" si="1"/>
        <v>1898.9100000000003</v>
      </c>
      <c r="N52" s="53">
        <f t="shared" si="2"/>
        <v>4469.16</v>
      </c>
      <c r="O52" s="60"/>
      <c r="P52" s="61">
        <v>4469.16</v>
      </c>
    </row>
    <row r="53" spans="1:16" x14ac:dyDescent="0.25">
      <c r="A53" s="50" t="s">
        <v>85</v>
      </c>
      <c r="B53" s="44">
        <f>2274.15+159.19</f>
        <v>2433.34</v>
      </c>
      <c r="C53" s="71"/>
      <c r="D53" s="78"/>
      <c r="E53" s="78"/>
      <c r="F53" s="78"/>
      <c r="G53" s="78">
        <f>1137.08+79.6</f>
        <v>1216.6799999999998</v>
      </c>
      <c r="H53" s="80"/>
      <c r="I53" s="41">
        <f t="shared" si="14"/>
        <v>3650.02</v>
      </c>
      <c r="J53" s="11">
        <v>23.68</v>
      </c>
      <c r="K53" s="11">
        <v>213.63</v>
      </c>
      <c r="L53" s="4">
        <f t="shared" si="13"/>
        <v>28.860000000000127</v>
      </c>
      <c r="M53" s="4">
        <f t="shared" si="1"/>
        <v>266.17000000000013</v>
      </c>
      <c r="N53" s="53">
        <f t="shared" si="2"/>
        <v>3383.85</v>
      </c>
      <c r="O53" s="60"/>
      <c r="P53" s="61">
        <v>3383.85</v>
      </c>
    </row>
    <row r="54" spans="1:16" x14ac:dyDescent="0.25">
      <c r="A54" s="50" t="s">
        <v>38</v>
      </c>
      <c r="B54" s="44">
        <f>12454.51+9465.43</f>
        <v>21919.940000000002</v>
      </c>
      <c r="C54" s="71">
        <v>12454.51</v>
      </c>
      <c r="D54" s="78"/>
      <c r="E54" s="78"/>
      <c r="F54" s="78">
        <f>830.3+830.3+631.03+763.88</f>
        <v>3055.51</v>
      </c>
      <c r="G54" s="78"/>
      <c r="H54" s="80"/>
      <c r="I54" s="41">
        <f t="shared" si="14"/>
        <v>37429.960000000006</v>
      </c>
      <c r="J54" s="11">
        <v>8387.52</v>
      </c>
      <c r="K54" s="11">
        <v>713.08</v>
      </c>
      <c r="L54" s="4">
        <f t="shared" si="13"/>
        <v>3472.1700000000055</v>
      </c>
      <c r="M54" s="4">
        <f t="shared" si="1"/>
        <v>12572.770000000006</v>
      </c>
      <c r="N54" s="53">
        <f t="shared" si="2"/>
        <v>24857.190000000002</v>
      </c>
      <c r="O54" s="60"/>
      <c r="P54" s="61">
        <v>24857.19</v>
      </c>
    </row>
    <row r="55" spans="1:16" x14ac:dyDescent="0.25">
      <c r="A55" s="50" t="s">
        <v>39</v>
      </c>
      <c r="B55" s="44">
        <f>1642.51+216.81</f>
        <v>1859.32</v>
      </c>
      <c r="C55" s="71">
        <v>328.5</v>
      </c>
      <c r="D55" s="78"/>
      <c r="E55" s="78">
        <f>657+3285.01+433.62+1458.54</f>
        <v>5834.17</v>
      </c>
      <c r="F55" s="78"/>
      <c r="G55" s="78">
        <f>2463.76+325.22+492.75</f>
        <v>3281.7300000000005</v>
      </c>
      <c r="H55" s="80"/>
      <c r="I55" s="41">
        <f t="shared" si="14"/>
        <v>11303.720000000001</v>
      </c>
      <c r="J55" s="11">
        <v>497.08</v>
      </c>
      <c r="K55" s="11">
        <f>37.36+675.72</f>
        <v>713.08</v>
      </c>
      <c r="L55" s="4">
        <f t="shared" si="13"/>
        <v>4910.5900000000011</v>
      </c>
      <c r="M55" s="4">
        <f t="shared" si="1"/>
        <v>6120.7500000000009</v>
      </c>
      <c r="N55" s="53">
        <f t="shared" si="2"/>
        <v>5182.97</v>
      </c>
      <c r="O55" s="60"/>
      <c r="P55" s="61">
        <v>5182.97</v>
      </c>
    </row>
    <row r="56" spans="1:16" x14ac:dyDescent="0.25">
      <c r="A56" s="50" t="s">
        <v>40</v>
      </c>
      <c r="B56" s="44">
        <f>3404.77+238.33</f>
        <v>3643.1</v>
      </c>
      <c r="C56" s="71"/>
      <c r="D56" s="78"/>
      <c r="E56" s="78">
        <f>1702.39+119.17+607.19</f>
        <v>2428.75</v>
      </c>
      <c r="F56" s="78"/>
      <c r="G56" s="78">
        <f>2553.58+178.75</f>
        <v>2732.33</v>
      </c>
      <c r="H56" s="80"/>
      <c r="I56" s="41">
        <f t="shared" si="14"/>
        <v>8804.18</v>
      </c>
      <c r="J56" s="11">
        <v>88.84</v>
      </c>
      <c r="K56" s="11">
        <f>495.91+213.08</f>
        <v>708.99</v>
      </c>
      <c r="L56" s="4">
        <f t="shared" si="13"/>
        <v>2964.0700000000006</v>
      </c>
      <c r="M56" s="4">
        <f t="shared" si="1"/>
        <v>3761.9000000000005</v>
      </c>
      <c r="N56" s="53">
        <f t="shared" si="2"/>
        <v>5042.28</v>
      </c>
      <c r="O56" s="60"/>
      <c r="P56" s="61">
        <v>5042.28</v>
      </c>
    </row>
    <row r="57" spans="1:16" x14ac:dyDescent="0.25">
      <c r="A57" s="50" t="s">
        <v>70</v>
      </c>
      <c r="B57" s="44">
        <f>1034.93+20.7</f>
        <v>1055.6300000000001</v>
      </c>
      <c r="C57" s="71"/>
      <c r="D57" s="78"/>
      <c r="E57" s="78">
        <f>791.42+15.83+269.08</f>
        <v>1076.33</v>
      </c>
      <c r="F57" s="78">
        <f>608.78+12.18+206.99</f>
        <v>827.94999999999993</v>
      </c>
      <c r="G57" s="78">
        <f>913.18+18.26</f>
        <v>931.43999999999994</v>
      </c>
      <c r="H57" s="80"/>
      <c r="I57" s="41">
        <f t="shared" si="14"/>
        <v>3891.35</v>
      </c>
      <c r="J57" s="11"/>
      <c r="K57" s="11">
        <f>90.78+86.68</f>
        <v>177.46</v>
      </c>
      <c r="L57" s="4">
        <f t="shared" ref="L57" si="15">I57-J57-K57-P57</f>
        <v>1841.9799999999998</v>
      </c>
      <c r="M57" s="4">
        <f t="shared" ref="M57" si="16">SUM(J57:L57)</f>
        <v>2019.4399999999998</v>
      </c>
      <c r="N57" s="53">
        <f t="shared" ref="N57" si="17">SUM(I57-M57)</f>
        <v>1871.91</v>
      </c>
      <c r="O57" s="60"/>
      <c r="P57" s="61">
        <v>1871.91</v>
      </c>
    </row>
    <row r="58" spans="1:16" x14ac:dyDescent="0.25">
      <c r="A58" s="50" t="s">
        <v>41</v>
      </c>
      <c r="B58" s="44">
        <f>6788.98+2281.1</f>
        <v>9070.08</v>
      </c>
      <c r="C58" s="71">
        <v>1357.8</v>
      </c>
      <c r="D58" s="78"/>
      <c r="E58" s="78">
        <f>1038.32+5191.57+1682.07+2637.32</f>
        <v>10549.279999999999</v>
      </c>
      <c r="F58" s="78"/>
      <c r="G58" s="78"/>
      <c r="H58" s="80"/>
      <c r="I58" s="41">
        <f t="shared" si="14"/>
        <v>20977.159999999996</v>
      </c>
      <c r="J58" s="11">
        <v>1929.67</v>
      </c>
      <c r="K58" s="11">
        <f>249.58+463.5</f>
        <v>713.08</v>
      </c>
      <c r="L58" s="4">
        <f t="shared" si="13"/>
        <v>10211.709999999995</v>
      </c>
      <c r="M58" s="4">
        <f t="shared" si="1"/>
        <v>12854.459999999995</v>
      </c>
      <c r="N58" s="53">
        <f>SUM(I58-M58)+G58</f>
        <v>8122.7000000000007</v>
      </c>
      <c r="O58" s="60"/>
      <c r="P58" s="61">
        <v>8122.7</v>
      </c>
    </row>
    <row r="59" spans="1:16" x14ac:dyDescent="0.25">
      <c r="A59" s="50" t="s">
        <v>42</v>
      </c>
      <c r="B59" s="44">
        <f>631.6+82.11</f>
        <v>713.71</v>
      </c>
      <c r="C59" s="71"/>
      <c r="D59" s="78"/>
      <c r="E59" s="78">
        <f>1263.2+164.22+475.81</f>
        <v>1903.23</v>
      </c>
      <c r="F59" s="78"/>
      <c r="G59" s="78">
        <f>947.4+123.16</f>
        <v>1070.56</v>
      </c>
      <c r="H59" s="80"/>
      <c r="I59" s="41">
        <f t="shared" si="14"/>
        <v>3687.5</v>
      </c>
      <c r="J59" s="11"/>
      <c r="K59" s="11">
        <f>80.05+155.61</f>
        <v>235.66000000000003</v>
      </c>
      <c r="L59" s="4">
        <f t="shared" si="13"/>
        <v>1783.17</v>
      </c>
      <c r="M59" s="4">
        <f t="shared" si="1"/>
        <v>2018.8300000000002</v>
      </c>
      <c r="N59" s="53">
        <f t="shared" si="2"/>
        <v>1668.6699999999998</v>
      </c>
      <c r="O59" s="60"/>
      <c r="P59" s="61">
        <v>1668.67</v>
      </c>
    </row>
    <row r="60" spans="1:16" x14ac:dyDescent="0.25">
      <c r="A60" s="50" t="s">
        <v>43</v>
      </c>
      <c r="B60" s="44">
        <f>3491.92+698.38</f>
        <v>4190.3</v>
      </c>
      <c r="C60" s="71"/>
      <c r="D60" s="78"/>
      <c r="E60" s="78"/>
      <c r="F60" s="78"/>
      <c r="G60" s="78">
        <f>1745.96+349.19</f>
        <v>2095.15</v>
      </c>
      <c r="H60" s="80"/>
      <c r="I60" s="41">
        <f t="shared" si="14"/>
        <v>6285.4500000000007</v>
      </c>
      <c r="J60" s="11">
        <v>206.91</v>
      </c>
      <c r="K60" s="11">
        <v>445.58</v>
      </c>
      <c r="L60" s="4">
        <f t="shared" si="13"/>
        <v>1017.7500000000009</v>
      </c>
      <c r="M60" s="4">
        <f t="shared" si="1"/>
        <v>1670.2400000000009</v>
      </c>
      <c r="N60" s="53">
        <f t="shared" si="2"/>
        <v>4615.21</v>
      </c>
      <c r="O60" s="60"/>
      <c r="P60" s="61">
        <v>4615.21</v>
      </c>
    </row>
    <row r="61" spans="1:16" x14ac:dyDescent="0.25">
      <c r="A61" s="50" t="s">
        <v>44</v>
      </c>
      <c r="B61" s="44">
        <f>10377.23+3860.33</f>
        <v>14237.56</v>
      </c>
      <c r="C61" s="71">
        <v>2075.4499999999998</v>
      </c>
      <c r="D61" s="78"/>
      <c r="E61" s="78"/>
      <c r="F61" s="78"/>
      <c r="G61" s="78"/>
      <c r="H61" s="80"/>
      <c r="I61" s="41">
        <f t="shared" si="14"/>
        <v>16313.009999999998</v>
      </c>
      <c r="J61" s="11">
        <v>3316.35</v>
      </c>
      <c r="K61" s="11">
        <v>713.08</v>
      </c>
      <c r="L61" s="4">
        <f t="shared" si="13"/>
        <v>1409.8199999999979</v>
      </c>
      <c r="M61" s="4">
        <f t="shared" si="1"/>
        <v>5439.2499999999982</v>
      </c>
      <c r="N61" s="53">
        <f>SUM(I61-M61)+G61</f>
        <v>10873.76</v>
      </c>
      <c r="O61" s="60"/>
      <c r="P61" s="61">
        <v>10873.76</v>
      </c>
    </row>
    <row r="62" spans="1:16" x14ac:dyDescent="0.25">
      <c r="A62" s="50" t="s">
        <v>45</v>
      </c>
      <c r="B62" s="44">
        <v>4993.3999999999996</v>
      </c>
      <c r="C62" s="71"/>
      <c r="D62" s="78"/>
      <c r="E62" s="78"/>
      <c r="F62" s="78"/>
      <c r="G62" s="78"/>
      <c r="H62" s="80"/>
      <c r="I62" s="41">
        <f t="shared" si="14"/>
        <v>4993.3999999999996</v>
      </c>
      <c r="J62" s="11">
        <v>319.18</v>
      </c>
      <c r="K62" s="11">
        <v>558.01</v>
      </c>
      <c r="L62" s="4">
        <f t="shared" si="13"/>
        <v>1861.6499999999992</v>
      </c>
      <c r="M62" s="4">
        <f t="shared" si="1"/>
        <v>2738.8399999999992</v>
      </c>
      <c r="N62" s="53">
        <f t="shared" si="2"/>
        <v>2254.5600000000004</v>
      </c>
      <c r="O62" s="60"/>
      <c r="P62" s="61">
        <v>2254.56</v>
      </c>
    </row>
    <row r="63" spans="1:16" x14ac:dyDescent="0.25">
      <c r="A63" s="50" t="s">
        <v>46</v>
      </c>
      <c r="B63" s="44">
        <f>592.34+77</f>
        <v>669.34</v>
      </c>
      <c r="C63" s="71"/>
      <c r="D63" s="78"/>
      <c r="E63" s="78">
        <f>1184.67+154.01+446.23</f>
        <v>1784.91</v>
      </c>
      <c r="F63" s="78"/>
      <c r="G63" s="78">
        <f>888.51+115.51</f>
        <v>1004.02</v>
      </c>
      <c r="H63" s="80"/>
      <c r="I63" s="41">
        <f t="shared" si="14"/>
        <v>3458.27</v>
      </c>
      <c r="J63" s="11"/>
      <c r="K63" s="11">
        <f>71.18+144.96</f>
        <v>216.14000000000001</v>
      </c>
      <c r="L63" s="4">
        <f t="shared" si="13"/>
        <v>1706.92</v>
      </c>
      <c r="M63" s="4">
        <f t="shared" si="1"/>
        <v>1923.0600000000002</v>
      </c>
      <c r="N63" s="53">
        <f t="shared" si="2"/>
        <v>1535.2099999999998</v>
      </c>
      <c r="O63" s="60"/>
      <c r="P63" s="61">
        <v>1535.21</v>
      </c>
    </row>
    <row r="64" spans="1:16" x14ac:dyDescent="0.25">
      <c r="A64" s="50" t="s">
        <v>86</v>
      </c>
      <c r="B64" s="44">
        <v>3993.39</v>
      </c>
      <c r="C64" s="71"/>
      <c r="D64" s="78"/>
      <c r="E64" s="78"/>
      <c r="F64" s="78"/>
      <c r="G64" s="78">
        <v>1996.7</v>
      </c>
      <c r="H64" s="80"/>
      <c r="I64" s="41">
        <f t="shared" si="14"/>
        <v>5990.09</v>
      </c>
      <c r="J64" s="11">
        <v>181.51</v>
      </c>
      <c r="K64" s="11">
        <v>418.01</v>
      </c>
      <c r="L64" s="4">
        <f t="shared" ref="L64" si="18">I64-J64-K64-P64</f>
        <v>46.049999999999272</v>
      </c>
      <c r="M64" s="4">
        <f t="shared" ref="M64" si="19">SUM(J64:L64)</f>
        <v>645.56999999999925</v>
      </c>
      <c r="N64" s="53">
        <f t="shared" ref="N64" si="20">SUM(I64-M64)</f>
        <v>5344.52</v>
      </c>
      <c r="O64" s="60"/>
      <c r="P64" s="61">
        <v>5344.52</v>
      </c>
    </row>
    <row r="65" spans="1:16" x14ac:dyDescent="0.25">
      <c r="A65" s="50" t="s">
        <v>84</v>
      </c>
      <c r="B65" s="44">
        <f>1755.42+17.55</f>
        <v>1772.97</v>
      </c>
      <c r="C65" s="71"/>
      <c r="D65" s="78"/>
      <c r="E65" s="78"/>
      <c r="F65" s="78"/>
      <c r="G65" s="78">
        <f>877.71+8.78</f>
        <v>886.49</v>
      </c>
      <c r="H65" s="80"/>
      <c r="I65" s="41">
        <f t="shared" si="14"/>
        <v>2659.46</v>
      </c>
      <c r="J65" s="11"/>
      <c r="K65" s="11">
        <v>143.88</v>
      </c>
      <c r="L65" s="4">
        <f t="shared" ref="L65" si="21">I65-J65-K65-P65</f>
        <v>148.96000000000004</v>
      </c>
      <c r="M65" s="4">
        <f t="shared" ref="M65" si="22">SUM(J65:L65)</f>
        <v>292.84000000000003</v>
      </c>
      <c r="N65" s="53">
        <f t="shared" ref="N65" si="23">SUM(I65-M65)</f>
        <v>2366.62</v>
      </c>
      <c r="O65" s="60"/>
      <c r="P65" s="61">
        <v>2366.62</v>
      </c>
    </row>
    <row r="66" spans="1:16" ht="15.75" thickBot="1" x14ac:dyDescent="0.3">
      <c r="A66" s="51" t="s">
        <v>47</v>
      </c>
      <c r="B66" s="46">
        <f>8015.71+1058.07</f>
        <v>9073.7800000000007</v>
      </c>
      <c r="C66" s="75">
        <v>1603.14</v>
      </c>
      <c r="D66" s="81"/>
      <c r="E66" s="81"/>
      <c r="F66" s="81"/>
      <c r="G66" s="81">
        <f>4007.86+529.04+801.57</f>
        <v>5338.4699999999993</v>
      </c>
      <c r="H66" s="82">
        <v>7367.38</v>
      </c>
      <c r="I66" s="42">
        <f>SUM(B66:H66)</f>
        <v>23382.77</v>
      </c>
      <c r="J66" s="38">
        <v>3844.59</v>
      </c>
      <c r="K66" s="38">
        <v>713.08</v>
      </c>
      <c r="L66" s="39">
        <f t="shared" si="13"/>
        <v>147.84000000000015</v>
      </c>
      <c r="M66" s="39">
        <f t="shared" si="1"/>
        <v>4705.51</v>
      </c>
      <c r="N66" s="54">
        <f t="shared" si="2"/>
        <v>18677.260000000002</v>
      </c>
      <c r="O66" s="60"/>
      <c r="P66" s="61">
        <v>18677.259999999998</v>
      </c>
    </row>
    <row r="67" spans="1:16" ht="15.75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6" x14ac:dyDescent="0.25">
      <c r="A68" s="105" t="s">
        <v>98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7"/>
    </row>
    <row r="69" spans="1:16" x14ac:dyDescent="0.25">
      <c r="A69" s="93" t="s">
        <v>96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</row>
    <row r="70" spans="1:16" ht="5.25" customHeight="1" x14ac:dyDescent="0.25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</row>
    <row r="71" spans="1:16" x14ac:dyDescent="0.25">
      <c r="A71" s="99" t="s">
        <v>97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1"/>
    </row>
    <row r="72" spans="1:16" x14ac:dyDescent="0.25">
      <c r="A72" s="102" t="s">
        <v>92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4"/>
    </row>
    <row r="73" spans="1:16" x14ac:dyDescent="0.25">
      <c r="A73" s="102" t="s">
        <v>93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1:16" x14ac:dyDescent="0.25">
      <c r="A74" s="102" t="s">
        <v>94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4"/>
    </row>
    <row r="75" spans="1:16" ht="15.75" thickBot="1" x14ac:dyDescent="0.3">
      <c r="A75" s="117" t="s">
        <v>95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9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111" t="s">
        <v>78</v>
      </c>
      <c r="M79" s="112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461072.80000000016</v>
      </c>
      <c r="J80" s="32">
        <f>SUM(J7:J42)</f>
        <v>48123.810000000005</v>
      </c>
      <c r="K80" s="32">
        <f>SUM(K7:K42)</f>
        <v>18955.580000000002</v>
      </c>
      <c r="L80" s="113">
        <f>SUM(N7:N42)</f>
        <v>290652.49</v>
      </c>
      <c r="M80" s="114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229616.35</v>
      </c>
      <c r="J81" s="32">
        <f>SUM(J45:J66)</f>
        <v>25996.48</v>
      </c>
      <c r="K81" s="32">
        <f>SUM(K45:K66)</f>
        <v>11373.759999999998</v>
      </c>
      <c r="L81" s="113">
        <f>SUM(N45:N66)</f>
        <v>159160.87</v>
      </c>
      <c r="M81" s="114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690689.15000000014</v>
      </c>
      <c r="J82" s="34">
        <f>SUM(J80:J81)</f>
        <v>74120.290000000008</v>
      </c>
      <c r="K82" s="34">
        <f>SUM(K80:K81)</f>
        <v>30329.34</v>
      </c>
      <c r="L82" s="115">
        <f>SUM(L80:L81)</f>
        <v>449813.36</v>
      </c>
      <c r="M82" s="116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L79:M79"/>
    <mergeCell ref="L80:M80"/>
    <mergeCell ref="L81:M81"/>
    <mergeCell ref="L82:M82"/>
    <mergeCell ref="A75:N75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32" t="s">
        <v>59</v>
      </c>
      <c r="B1" s="132"/>
      <c r="C1" s="132"/>
      <c r="D1" s="132"/>
      <c r="E1" s="132"/>
      <c r="F1" s="132"/>
      <c r="G1" s="132"/>
      <c r="H1" s="132"/>
      <c r="I1" s="132"/>
    </row>
    <row r="2" spans="1:12" x14ac:dyDescent="0.25">
      <c r="A2" s="132" t="s">
        <v>60</v>
      </c>
      <c r="B2" s="132"/>
      <c r="C2" s="132"/>
      <c r="D2" s="132"/>
      <c r="E2" s="132"/>
      <c r="F2" s="132"/>
      <c r="G2" s="132"/>
      <c r="H2" s="132"/>
      <c r="I2" s="132"/>
    </row>
    <row r="3" spans="1:12" ht="4.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6" t="s">
        <v>58</v>
      </c>
      <c r="B5" s="128" t="s">
        <v>48</v>
      </c>
      <c r="C5" s="128" t="s">
        <v>80</v>
      </c>
      <c r="D5" s="5" t="s">
        <v>50</v>
      </c>
      <c r="E5" s="128" t="s">
        <v>52</v>
      </c>
      <c r="F5" s="128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7"/>
      <c r="B6" s="129"/>
      <c r="C6" s="129"/>
      <c r="D6" s="6" t="s">
        <v>51</v>
      </c>
      <c r="E6" s="129"/>
      <c r="F6" s="129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6" t="s">
        <v>58</v>
      </c>
      <c r="B42" s="128" t="s">
        <v>48</v>
      </c>
      <c r="C42" s="128" t="s">
        <v>80</v>
      </c>
      <c r="D42" s="5" t="s">
        <v>50</v>
      </c>
      <c r="E42" s="130" t="s">
        <v>52</v>
      </c>
      <c r="F42" s="130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7"/>
      <c r="B43" s="129"/>
      <c r="C43" s="129"/>
      <c r="D43" s="6" t="s">
        <v>51</v>
      </c>
      <c r="E43" s="131"/>
      <c r="F43" s="131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2" t="s">
        <v>73</v>
      </c>
      <c r="B65" s="123"/>
      <c r="C65" s="123"/>
      <c r="D65" s="123"/>
      <c r="E65" s="123"/>
      <c r="F65" s="123"/>
      <c r="G65" s="123"/>
      <c r="H65" s="123"/>
      <c r="I65" s="123"/>
    </row>
    <row r="66" spans="1:9" x14ac:dyDescent="0.25">
      <c r="A66" s="122" t="s">
        <v>61</v>
      </c>
      <c r="B66" s="123"/>
      <c r="C66" s="123"/>
      <c r="D66" s="123"/>
      <c r="E66" s="123"/>
      <c r="F66" s="123"/>
      <c r="G66" s="123"/>
      <c r="H66" s="123"/>
      <c r="I66" s="123"/>
    </row>
    <row r="67" spans="1:9" x14ac:dyDescent="0.25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x14ac:dyDescent="0.25">
      <c r="A68" s="125" t="s">
        <v>62</v>
      </c>
      <c r="B68" s="125"/>
      <c r="C68" s="125"/>
      <c r="D68" s="125"/>
      <c r="E68" s="125"/>
      <c r="F68" s="125"/>
      <c r="G68" s="125"/>
      <c r="H68" s="125"/>
      <c r="I68" s="125"/>
    </row>
    <row r="69" spans="1:9" x14ac:dyDescent="0.25">
      <c r="A69" s="120" t="s">
        <v>66</v>
      </c>
      <c r="B69" s="120"/>
      <c r="C69" s="120"/>
      <c r="D69" s="120"/>
      <c r="E69" s="120"/>
      <c r="F69" s="120"/>
      <c r="G69" s="120"/>
      <c r="H69" s="120"/>
      <c r="I69" s="120"/>
    </row>
    <row r="70" spans="1:9" x14ac:dyDescent="0.25">
      <c r="A70" s="120" t="s">
        <v>68</v>
      </c>
      <c r="B70" s="120"/>
      <c r="C70" s="120"/>
      <c r="D70" s="120"/>
      <c r="E70" s="120"/>
      <c r="F70" s="120"/>
      <c r="G70" s="120"/>
      <c r="H70" s="120"/>
      <c r="I70" s="120"/>
    </row>
    <row r="71" spans="1:9" x14ac:dyDescent="0.25">
      <c r="A71" s="120" t="s">
        <v>65</v>
      </c>
      <c r="B71" s="120"/>
      <c r="C71" s="120"/>
      <c r="D71" s="120"/>
      <c r="E71" s="120"/>
      <c r="F71" s="120"/>
      <c r="G71" s="120"/>
      <c r="H71" s="120"/>
      <c r="I71" s="120"/>
    </row>
    <row r="72" spans="1:9" x14ac:dyDescent="0.25">
      <c r="A72" s="121"/>
      <c r="B72" s="121"/>
      <c r="C72" s="121"/>
      <c r="D72" s="121"/>
      <c r="E72" s="121"/>
      <c r="F72" s="121"/>
      <c r="G72" s="121"/>
      <c r="H72" s="121"/>
      <c r="I72" s="121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2020-06-26T14:37:32Z</dcterms:modified>
</cp:coreProperties>
</file>