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805321A9-E534-440F-A5A5-4C492F1FB54F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mes" sheetId="6" r:id="rId1"/>
    <sheet name="13" sheetId="7" r:id="rId2"/>
  </sheets>
  <definedNames>
    <definedName name="_xlnm.Print_Area" localSheetId="1">'13'!$A$1:$I$73</definedName>
    <definedName name="_xlnm.Print_Area" localSheetId="0">mes!$A$1:$N$75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6" i="6" l="1"/>
  <c r="K65" i="6"/>
  <c r="E65" i="6"/>
  <c r="B65" i="6"/>
  <c r="K63" i="6"/>
  <c r="E63" i="6"/>
  <c r="B63" i="6"/>
  <c r="I63" i="6" s="1"/>
  <c r="K59" i="6"/>
  <c r="E59" i="6"/>
  <c r="B59" i="6"/>
  <c r="J58" i="6"/>
  <c r="E58" i="6"/>
  <c r="B58" i="6"/>
  <c r="I58" i="6" s="1"/>
  <c r="K57" i="6"/>
  <c r="E57" i="6"/>
  <c r="B57" i="6"/>
  <c r="J54" i="6"/>
  <c r="F54" i="6"/>
  <c r="I54" i="6" s="1"/>
  <c r="E54" i="6"/>
  <c r="G54" i="6"/>
  <c r="B54" i="6"/>
  <c r="B49" i="6"/>
  <c r="I49" i="6" s="1"/>
  <c r="B48" i="6"/>
  <c r="I48" i="6" s="1"/>
  <c r="E47" i="6"/>
  <c r="B47" i="6"/>
  <c r="K46" i="6"/>
  <c r="E46" i="6"/>
  <c r="I46" i="6" s="1"/>
  <c r="B46" i="6"/>
  <c r="K45" i="6"/>
  <c r="E45" i="6"/>
  <c r="B45" i="6"/>
  <c r="J42" i="6"/>
  <c r="E42" i="6"/>
  <c r="B42" i="6"/>
  <c r="J37" i="6"/>
  <c r="E37" i="6"/>
  <c r="I37" i="6"/>
  <c r="B37" i="6"/>
  <c r="J36" i="6"/>
  <c r="E36" i="6"/>
  <c r="B36" i="6"/>
  <c r="K34" i="6"/>
  <c r="E34" i="6"/>
  <c r="B34" i="6"/>
  <c r="J32" i="6"/>
  <c r="E32" i="6"/>
  <c r="I32" i="6" s="1"/>
  <c r="B32" i="6"/>
  <c r="K29" i="6"/>
  <c r="E29" i="6"/>
  <c r="B29" i="6"/>
  <c r="I66" i="6"/>
  <c r="I47" i="6"/>
  <c r="I50" i="6"/>
  <c r="I51" i="6"/>
  <c r="I52" i="6"/>
  <c r="I53" i="6"/>
  <c r="I55" i="6"/>
  <c r="I56" i="6"/>
  <c r="I57" i="6"/>
  <c r="I59" i="6"/>
  <c r="I60" i="6"/>
  <c r="I61" i="6"/>
  <c r="I62" i="6"/>
  <c r="I64" i="6"/>
  <c r="I65" i="6"/>
  <c r="I45" i="6"/>
  <c r="I42" i="6"/>
  <c r="I31" i="6"/>
  <c r="I33" i="6"/>
  <c r="I34" i="6"/>
  <c r="I35" i="6"/>
  <c r="I36" i="6"/>
  <c r="I38" i="6"/>
  <c r="I39" i="6"/>
  <c r="I40" i="6"/>
  <c r="I41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8" i="6"/>
  <c r="I7" i="6"/>
  <c r="E27" i="6"/>
  <c r="G27" i="6"/>
  <c r="B27" i="6"/>
  <c r="B22" i="6"/>
  <c r="K20" i="6"/>
  <c r="J20" i="6"/>
  <c r="E20" i="6"/>
  <c r="B20" i="6"/>
  <c r="K18" i="6"/>
  <c r="E18" i="6"/>
  <c r="B18" i="6"/>
  <c r="K17" i="6"/>
  <c r="E17" i="6"/>
  <c r="B17" i="6"/>
  <c r="J16" i="6"/>
  <c r="F16" i="6"/>
  <c r="E16" i="6"/>
  <c r="B16" i="6"/>
  <c r="B15" i="6"/>
  <c r="K13" i="6"/>
  <c r="B13" i="6"/>
  <c r="E13" i="6"/>
  <c r="B12" i="6"/>
  <c r="K12" i="6"/>
  <c r="E12" i="6"/>
  <c r="K9" i="6"/>
  <c r="E9" i="6"/>
  <c r="B9" i="6"/>
  <c r="F7" i="6"/>
  <c r="E7" i="6"/>
  <c r="B7" i="6"/>
  <c r="B61" i="6" l="1"/>
  <c r="B55" i="6"/>
  <c r="B51" i="6"/>
  <c r="K49" i="6"/>
  <c r="K48" i="6"/>
  <c r="B39" i="6"/>
  <c r="B38" i="6"/>
  <c r="B35" i="6"/>
  <c r="B30" i="6"/>
  <c r="B26" i="6"/>
  <c r="B23" i="6"/>
  <c r="B21" i="6"/>
  <c r="B19" i="6"/>
  <c r="C14" i="6"/>
  <c r="B14" i="6"/>
  <c r="K7" i="6"/>
  <c r="L64" i="6" l="1"/>
  <c r="M64" i="6" s="1"/>
  <c r="N64" i="6" s="1"/>
  <c r="L65" i="6" l="1"/>
  <c r="M65" i="6" s="1"/>
  <c r="N65" i="6" s="1"/>
  <c r="L10" i="6" l="1"/>
  <c r="M10" i="6" s="1"/>
  <c r="N10" i="6" s="1"/>
  <c r="L19" i="6" l="1"/>
  <c r="M19" i="6" s="1"/>
  <c r="N19" i="6" s="1"/>
  <c r="I26" i="7" l="1"/>
  <c r="I11" i="7"/>
  <c r="F77" i="7"/>
  <c r="E77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G29" i="7" s="1"/>
  <c r="H29" i="7" s="1"/>
  <c r="I29" i="7" s="1"/>
  <c r="D28" i="7"/>
  <c r="G28" i="7" s="1"/>
  <c r="H28" i="7" s="1"/>
  <c r="I28" i="7" s="1"/>
  <c r="D27" i="7"/>
  <c r="G27" i="7" s="1"/>
  <c r="H27" i="7" s="1"/>
  <c r="I27" i="7" s="1"/>
  <c r="D26" i="7"/>
  <c r="G26" i="7" s="1"/>
  <c r="H26" i="7" s="1"/>
  <c r="D25" i="7"/>
  <c r="G25" i="7" s="1"/>
  <c r="H25" i="7" s="1"/>
  <c r="I25" i="7" s="1"/>
  <c r="D24" i="7"/>
  <c r="G24" i="7" s="1"/>
  <c r="H24" i="7" s="1"/>
  <c r="I24" i="7" s="1"/>
  <c r="E76" i="7"/>
  <c r="D23" i="7"/>
  <c r="D22" i="7"/>
  <c r="G22" i="7" s="1"/>
  <c r="H22" i="7" s="1"/>
  <c r="D21" i="7"/>
  <c r="G21" i="7" s="1"/>
  <c r="H21" i="7" s="1"/>
  <c r="F76" i="7"/>
  <c r="D20" i="7"/>
  <c r="D19" i="7"/>
  <c r="G19" i="7" s="1"/>
  <c r="H19" i="7" s="1"/>
  <c r="I19" i="7" s="1"/>
  <c r="D18" i="7"/>
  <c r="G18" i="7" s="1"/>
  <c r="H18" i="7" s="1"/>
  <c r="I18" i="7" s="1"/>
  <c r="D17" i="7"/>
  <c r="D16" i="7"/>
  <c r="G16" i="7" s="1"/>
  <c r="H16" i="7" s="1"/>
  <c r="I16" i="7" s="1"/>
  <c r="D15" i="7"/>
  <c r="G15" i="7" s="1"/>
  <c r="H15" i="7" s="1"/>
  <c r="I15" i="7" s="1"/>
  <c r="D14" i="7"/>
  <c r="G14" i="7" s="1"/>
  <c r="H14" i="7" s="1"/>
  <c r="I14" i="7" s="1"/>
  <c r="D13" i="7"/>
  <c r="G13" i="7" s="1"/>
  <c r="H13" i="7" s="1"/>
  <c r="I13" i="7" s="1"/>
  <c r="D12" i="7"/>
  <c r="G12" i="7" s="1"/>
  <c r="H12" i="7" s="1"/>
  <c r="I12" i="7" s="1"/>
  <c r="D11" i="7"/>
  <c r="G11" i="7" s="1"/>
  <c r="H11" i="7" s="1"/>
  <c r="D10" i="7"/>
  <c r="G10" i="7" s="1"/>
  <c r="H10" i="7" s="1"/>
  <c r="I10" i="7" s="1"/>
  <c r="D9" i="7"/>
  <c r="G9" i="7" s="1"/>
  <c r="H9" i="7" s="1"/>
  <c r="I9" i="7" s="1"/>
  <c r="D8" i="7"/>
  <c r="G8" i="7" s="1"/>
  <c r="H8" i="7" s="1"/>
  <c r="I8" i="7" s="1"/>
  <c r="D7" i="7"/>
  <c r="G7" i="7" s="1"/>
  <c r="H7" i="7" s="1"/>
  <c r="I7" i="7" s="1"/>
  <c r="F78" i="7" l="1"/>
  <c r="E78" i="7"/>
  <c r="G20" i="7"/>
  <c r="H20" i="7" s="1"/>
  <c r="I20" i="7" s="1"/>
  <c r="G23" i="7"/>
  <c r="H23" i="7" s="1"/>
  <c r="I23" i="7" s="1"/>
  <c r="G30" i="7"/>
  <c r="H30" i="7" s="1"/>
  <c r="I30" i="7" s="1"/>
  <c r="G17" i="7"/>
  <c r="H17" i="7" s="1"/>
  <c r="I17" i="7" s="1"/>
  <c r="D76" i="7"/>
  <c r="D77" i="7"/>
  <c r="I21" i="7"/>
  <c r="I22" i="7"/>
  <c r="G31" i="7"/>
  <c r="H31" i="7" s="1"/>
  <c r="I31" i="7" s="1"/>
  <c r="G32" i="7"/>
  <c r="H32" i="7" s="1"/>
  <c r="I32" i="7" s="1"/>
  <c r="G33" i="7"/>
  <c r="H33" i="7" s="1"/>
  <c r="I33" i="7" s="1"/>
  <c r="G34" i="7"/>
  <c r="H34" i="7" s="1"/>
  <c r="I34" i="7" s="1"/>
  <c r="G35" i="7"/>
  <c r="H35" i="7" s="1"/>
  <c r="I35" i="7" s="1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4" i="7"/>
  <c r="H44" i="7" s="1"/>
  <c r="I44" i="7" s="1"/>
  <c r="G45" i="7"/>
  <c r="H45" i="7" s="1"/>
  <c r="I45" i="7" s="1"/>
  <c r="G46" i="7"/>
  <c r="H46" i="7" s="1"/>
  <c r="I46" i="7" s="1"/>
  <c r="G47" i="7"/>
  <c r="H47" i="7" s="1"/>
  <c r="I47" i="7" s="1"/>
  <c r="G48" i="7"/>
  <c r="H48" i="7" s="1"/>
  <c r="I48" i="7" s="1"/>
  <c r="G49" i="7"/>
  <c r="H49" i="7" s="1"/>
  <c r="I49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 s="1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I77" i="7" l="1"/>
  <c r="I76" i="7"/>
  <c r="D78" i="7"/>
  <c r="K81" i="6"/>
  <c r="K80" i="6"/>
  <c r="J81" i="6"/>
  <c r="J80" i="6"/>
  <c r="K82" i="6" l="1"/>
  <c r="I78" i="7"/>
  <c r="J82" i="6"/>
  <c r="L33" i="6"/>
  <c r="M33" i="6" s="1"/>
  <c r="N33" i="6" s="1"/>
  <c r="L11" i="6" l="1"/>
  <c r="M11" i="6" s="1"/>
  <c r="N11" i="6" s="1"/>
  <c r="L40" i="6" l="1"/>
  <c r="M40" i="6" s="1"/>
  <c r="N40" i="6" s="1"/>
  <c r="L57" i="6" l="1"/>
  <c r="M57" i="6" s="1"/>
  <c r="N57" i="6" s="1"/>
  <c r="L25" i="6"/>
  <c r="M25" i="6" s="1"/>
  <c r="N25" i="6" s="1"/>
  <c r="L16" i="6" l="1"/>
  <c r="M16" i="6" s="1"/>
  <c r="N16" i="6" s="1"/>
  <c r="L13" i="6" l="1"/>
  <c r="M13" i="6" s="1"/>
  <c r="N13" i="6" s="1"/>
  <c r="L66" i="6"/>
  <c r="M66" i="6" s="1"/>
  <c r="N66" i="6" s="1"/>
  <c r="L63" i="6"/>
  <c r="M63" i="6" s="1"/>
  <c r="N63" i="6" s="1"/>
  <c r="L60" i="6"/>
  <c r="M60" i="6" s="1"/>
  <c r="N60" i="6" s="1"/>
  <c r="L59" i="6"/>
  <c r="M59" i="6" s="1"/>
  <c r="L56" i="6"/>
  <c r="M56" i="6" s="1"/>
  <c r="N56" i="6" s="1"/>
  <c r="L55" i="6"/>
  <c r="M55" i="6" s="1"/>
  <c r="N55" i="6" s="1"/>
  <c r="L54" i="6"/>
  <c r="M54" i="6" s="1"/>
  <c r="L53" i="6"/>
  <c r="M53" i="6" s="1"/>
  <c r="L52" i="6"/>
  <c r="M52" i="6" s="1"/>
  <c r="L49" i="6"/>
  <c r="M49" i="6" s="1"/>
  <c r="L48" i="6"/>
  <c r="M48" i="6" s="1"/>
  <c r="L47" i="6"/>
  <c r="M47" i="6" s="1"/>
  <c r="N47" i="6" s="1"/>
  <c r="L42" i="6"/>
  <c r="M42" i="6" s="1"/>
  <c r="N42" i="6" s="1"/>
  <c r="L38" i="6"/>
  <c r="M38" i="6" s="1"/>
  <c r="N38" i="6" s="1"/>
  <c r="L37" i="6"/>
  <c r="M37" i="6" s="1"/>
  <c r="N37" i="6" s="1"/>
  <c r="L35" i="6"/>
  <c r="M35" i="6" s="1"/>
  <c r="N35" i="6" s="1"/>
  <c r="L32" i="6"/>
  <c r="M32" i="6" s="1"/>
  <c r="N32" i="6" s="1"/>
  <c r="L31" i="6"/>
  <c r="M31" i="6" s="1"/>
  <c r="N31" i="6" s="1"/>
  <c r="L30" i="6"/>
  <c r="M30" i="6" s="1"/>
  <c r="N30" i="6" s="1"/>
  <c r="L29" i="6"/>
  <c r="M29" i="6" s="1"/>
  <c r="N29" i="6" s="1"/>
  <c r="L28" i="6"/>
  <c r="M28" i="6" s="1"/>
  <c r="N28" i="6" s="1"/>
  <c r="L26" i="6"/>
  <c r="M26" i="6" s="1"/>
  <c r="N26" i="6" s="1"/>
  <c r="L24" i="6"/>
  <c r="M24" i="6" s="1"/>
  <c r="N24" i="6" s="1"/>
  <c r="L23" i="6"/>
  <c r="M23" i="6" s="1"/>
  <c r="N23" i="6" s="1"/>
  <c r="L22" i="6"/>
  <c r="M22" i="6" s="1"/>
  <c r="N22" i="6" s="1"/>
  <c r="L20" i="6"/>
  <c r="M20" i="6" s="1"/>
  <c r="N20" i="6" s="1"/>
  <c r="L15" i="6"/>
  <c r="M15" i="6" s="1"/>
  <c r="N15" i="6" s="1"/>
  <c r="L8" i="6"/>
  <c r="M8" i="6" s="1"/>
  <c r="N8" i="6" s="1"/>
  <c r="L7" i="6"/>
  <c r="M7" i="6" s="1"/>
  <c r="N7" i="6" s="1"/>
  <c r="L46" i="6" l="1"/>
  <c r="M46" i="6" s="1"/>
  <c r="N46" i="6" s="1"/>
  <c r="I81" i="6"/>
  <c r="L9" i="6"/>
  <c r="I80" i="6"/>
  <c r="L62" i="6"/>
  <c r="M62" i="6" s="1"/>
  <c r="N62" i="6" s="1"/>
  <c r="L17" i="6"/>
  <c r="M17" i="6" s="1"/>
  <c r="N17" i="6" s="1"/>
  <c r="L58" i="6"/>
  <c r="M58" i="6" s="1"/>
  <c r="N58" i="6" s="1"/>
  <c r="L50" i="6"/>
  <c r="M50" i="6" s="1"/>
  <c r="N50" i="6" s="1"/>
  <c r="L51" i="6"/>
  <c r="M51" i="6" s="1"/>
  <c r="N51" i="6" s="1"/>
  <c r="L61" i="6"/>
  <c r="M61" i="6" s="1"/>
  <c r="N61" i="6" s="1"/>
  <c r="L12" i="6"/>
  <c r="M12" i="6" s="1"/>
  <c r="N12" i="6" s="1"/>
  <c r="L34" i="6"/>
  <c r="M34" i="6" s="1"/>
  <c r="N34" i="6" s="1"/>
  <c r="L27" i="6"/>
  <c r="M27" i="6" s="1"/>
  <c r="N27" i="6" s="1"/>
  <c r="L39" i="6"/>
  <c r="M39" i="6" s="1"/>
  <c r="N39" i="6" s="1"/>
  <c r="L36" i="6"/>
  <c r="M36" i="6" s="1"/>
  <c r="N36" i="6" s="1"/>
  <c r="L45" i="6"/>
  <c r="M45" i="6" s="1"/>
  <c r="N45" i="6" s="1"/>
  <c r="L21" i="6"/>
  <c r="M21" i="6" s="1"/>
  <c r="N21" i="6" s="1"/>
  <c r="L18" i="6"/>
  <c r="M18" i="6" s="1"/>
  <c r="N18" i="6" s="1"/>
  <c r="L14" i="6"/>
  <c r="M14" i="6" s="1"/>
  <c r="N14" i="6" s="1"/>
  <c r="N54" i="6"/>
  <c r="N49" i="6"/>
  <c r="N48" i="6"/>
  <c r="N52" i="6"/>
  <c r="L41" i="6"/>
  <c r="M41" i="6" s="1"/>
  <c r="N41" i="6" s="1"/>
  <c r="N53" i="6"/>
  <c r="N59" i="6"/>
  <c r="I82" i="6" l="1"/>
  <c r="M9" i="6"/>
  <c r="L81" i="6"/>
  <c r="N9" i="6" l="1"/>
  <c r="L80" i="6" s="1"/>
  <c r="L82" i="6" s="1"/>
</calcChain>
</file>

<file path=xl/sharedStrings.xml><?xml version="1.0" encoding="utf-8"?>
<sst xmlns="http://schemas.openxmlformats.org/spreadsheetml/2006/main" count="208" uniqueCount="100">
  <si>
    <t>ADILSON FERNANDO CASTRO</t>
  </si>
  <si>
    <t>ADRIANA IAIZZO MAGALHAES</t>
  </si>
  <si>
    <t>ALBERTO AUGUSTO SPITZ</t>
  </si>
  <si>
    <t>ATILA COLONIA CUNNINGHAM</t>
  </si>
  <si>
    <t>BERNADETE DOS SANTOS GONCALVES</t>
  </si>
  <si>
    <t>CELITA ZAIDOVICZ PALTANIN</t>
  </si>
  <si>
    <t>CRISTINA APARECIDA MEDEIROS DIAS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</si>
  <si>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</si>
  <si>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</si>
  <si>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</si>
  <si>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</si>
  <si>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</si>
  <si>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</si>
  <si>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</si>
  <si>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</si>
  <si>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</si>
  <si>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</si>
  <si>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</si>
  <si>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</si>
  <si>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</si>
  <si>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</si>
  <si>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JOSELDA MARA VELHO</t>
  </si>
  <si>
    <t>LAURA POTIRA MOREIRA DE SOUZA</t>
  </si>
  <si>
    <t>LUCIANA CRISTINA CORRER</t>
  </si>
  <si>
    <t>LUIZ CESAR ALMEIDA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</si>
  <si>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</si>
  <si>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</si>
  <si>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</si>
  <si>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</si>
  <si>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</si>
  <si>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</si>
  <si>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</si>
  <si>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</si>
  <si>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</si>
  <si>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</si>
  <si>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</si>
  <si>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</si>
  <si>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OSMAR RODRIGUES DE MELLO</t>
  </si>
  <si>
    <t>PEDRO HUGO CATOSSI</t>
  </si>
  <si>
    <t>RAFAEL MARCOS AMARAL</t>
  </si>
  <si>
    <t>ROGERS SILVA GARCEZ DAS NEVES</t>
  </si>
  <si>
    <t>RONALDO VELOSO DE ALCANTARA</t>
  </si>
  <si>
    <t>ROSANA APARECIDA SILVA CARDOSO</t>
  </si>
  <si>
    <t>SANDRA APARECIDA RIBEIRO DOS SANTOS WOLANSKI</t>
  </si>
  <si>
    <t>VALDAIR DE SOUZA</t>
  </si>
  <si>
    <t>VALMIR CORREA DOS SANTOS</t>
  </si>
  <si>
    <t>VERA ALICE ALMEIDA REMPEL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</si>
  <si>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</si>
  <si>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</si>
  <si>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</si>
  <si>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</si>
  <si>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</si>
  <si>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</si>
  <si>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</si>
  <si>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</si>
  <si>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</si>
  <si>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</si>
  <si>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</si>
  <si>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</si>
  <si>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</si>
  <si>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</si>
  <si>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em um total de 22 dias, sendo descontado do funcionário o percentual de 0,50% (meio por cento) sobre o valor total dos vales fornecidos no período.</t>
  </si>
  <si>
    <r>
      <rPr>
        <b/>
        <u/>
        <sz val="9"/>
        <color theme="1"/>
        <rFont val="Calibri"/>
        <family val="2"/>
        <scheme val="minor"/>
      </rPr>
      <t>Descrição dos Campos</t>
    </r>
    <r>
      <rPr>
        <b/>
        <sz val="9"/>
        <color theme="1"/>
        <rFont val="Calibri"/>
        <family val="2"/>
        <scheme val="minor"/>
      </rPr>
      <t>:</t>
    </r>
  </si>
  <si>
    <t xml:space="preserve">Honorário de </t>
  </si>
  <si>
    <t>Sucumbência</t>
  </si>
  <si>
    <r>
      <rPr>
        <b/>
        <u/>
        <sz val="9"/>
        <color theme="1"/>
        <rFont val="Calibri"/>
        <family val="2"/>
        <scheme val="minor"/>
      </rPr>
      <t>Outros descontos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</si>
  <si>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r>
      <rPr>
        <b/>
        <u/>
        <sz val="9"/>
        <color theme="1"/>
        <rFont val="Calibri"/>
        <family val="2"/>
        <scheme val="minor"/>
      </rPr>
      <t>Remuneração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salário, gratificação, hora extra, adicional noturno, férias + 1/3 de férias e médias sobre férias, diárias e comissões de participação em pregão eletrônico e/ou procedimento licitatório.</t>
    </r>
  </si>
  <si>
    <t>13º Salário</t>
  </si>
  <si>
    <r>
      <rPr>
        <b/>
        <u/>
        <sz val="9"/>
        <color theme="1"/>
        <rFont val="Calibri"/>
        <family val="2"/>
        <scheme val="minor"/>
      </rPr>
      <t>Auxílios</t>
    </r>
    <r>
      <rPr>
        <sz val="9"/>
        <color theme="1"/>
        <rFont val="Calibri"/>
        <family val="2"/>
        <scheme val="minor"/>
      </rPr>
      <t>: auxílio enfermidade, salário maternidade.</t>
    </r>
  </si>
  <si>
    <t>HELENA YURIKO HASEGAWA TORQUATO</t>
  </si>
  <si>
    <t>RONALD AURELIO KOCHOLIK</t>
  </si>
  <si>
    <t>MARCIA PORDEUS TORRES</t>
  </si>
  <si>
    <t>ALISSON BOBATO DALSANTO</t>
  </si>
  <si>
    <t>A concessão do vale alimentação e/ou vale refeição aos funcionários do CRCPR é realizada por meio de cartão magnético. O benefício é disponibilizado mensalmente no valor de R$ 41,00 (quarenta e um reais).</t>
  </si>
  <si>
    <t>KARIN OLIVEIRA SILVA</t>
  </si>
  <si>
    <t>MAIRÊ APARECIDA DAHLEM</t>
  </si>
  <si>
    <t>TOTAL</t>
  </si>
  <si>
    <t>IRRF</t>
  </si>
  <si>
    <t>LIQUIDO</t>
  </si>
  <si>
    <t>EVERSON ARNDT</t>
  </si>
  <si>
    <t>Médias</t>
  </si>
  <si>
    <t>Mês: 13º salário                Ano: 2018</t>
  </si>
  <si>
    <t>ERYKA RENATA FERREIRA DE MELLO SENFF MAIA</t>
  </si>
  <si>
    <t>ALESSANDRO LUIZ STAMATTO FERREIRA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</si>
  <si>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</si>
  <si>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</si>
  <si>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</si>
  <si>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</si>
  <si>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</si>
  <si>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</si>
  <si>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</si>
  <si>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</si>
  <si>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</si>
  <si>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</si>
  <si>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</si>
  <si>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</si>
  <si>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</si>
  <si>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</si>
  <si>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A concessão do vale alimentação e/ou vale refeição aos funcionários do CRCPR é realizada por meio de cartão magnético. O benefício é disponibilizado mensalmente no valor de R$ 46,50 (quarenta e um reais) recebidos por 22 dias mensais,</t>
  </si>
  <si>
    <t>Mês: 05                Ano: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</si>
</sst>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4">
    <xf numFmtId="0" fontId="0" fillId="0" borderId="0" xfId="0"/>
    <xf numFmtId="164" fontId="0" fillId="0" borderId="0" xfId="0" applyNumberFormat="1"/>
    <xf numFmtId="0" fontId="0" fillId="0" borderId="3" xfId="0" applyBorder="1"/>
    <xf numFmtId="164" fontId="0" fillId="0" borderId="0" xfId="0" applyNumberFormat="1" applyFill="1"/>
    <xf numFmtId="164" fontId="0" fillId="0" borderId="3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3" xfId="0" applyNumberFormat="1" applyBorder="1" applyProtection="1"/>
    <xf numFmtId="164" fontId="0" fillId="0" borderId="0" xfId="0" applyNumberFormat="1" applyFill="1" applyProtection="1">
      <protection locked="0"/>
    </xf>
    <xf numFmtId="164" fontId="0" fillId="0" borderId="3" xfId="0" applyNumberFormat="1" applyFill="1" applyBorder="1" applyProtection="1">
      <protection locked="0"/>
    </xf>
    <xf numFmtId="44" fontId="0" fillId="3" borderId="0" xfId="1" applyFont="1" applyFill="1" applyProtection="1">
      <protection locked="0"/>
    </xf>
    <xf numFmtId="0" fontId="0" fillId="0" borderId="0" xfId="0" applyProtection="1">
      <protection locked="0"/>
    </xf>
    <xf numFmtId="44" fontId="0" fillId="0" borderId="0" xfId="1" applyFont="1" applyFill="1" applyProtection="1">
      <protection locked="0"/>
    </xf>
    <xf numFmtId="164" fontId="1" fillId="4" borderId="0" xfId="0" applyNumberFormat="1" applyFont="1" applyFill="1"/>
    <xf numFmtId="164" fontId="1" fillId="4" borderId="3" xfId="0" applyNumberFormat="1" applyFont="1" applyFill="1" applyBorder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2" xfId="0" applyFont="1" applyBorder="1" applyAlignment="1"/>
    <xf numFmtId="0" fontId="8" fillId="0" borderId="2" xfId="0" applyFont="1" applyBorder="1" applyAlignment="1">
      <alignment vertical="center"/>
    </xf>
    <xf numFmtId="164" fontId="8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/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8" fillId="3" borderId="8" xfId="0" applyNumberFormat="1" applyFont="1" applyFill="1" applyBorder="1" applyProtection="1">
      <protection locked="0"/>
    </xf>
    <xf numFmtId="164" fontId="8" fillId="3" borderId="9" xfId="0" applyNumberFormat="1" applyFont="1" applyFill="1" applyBorder="1" applyProtection="1">
      <protection locked="0"/>
    </xf>
    <xf numFmtId="0" fontId="10" fillId="2" borderId="13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20" xfId="0" applyNumberFormat="1" applyFill="1" applyBorder="1" applyProtection="1">
      <protection locked="0"/>
    </xf>
    <xf numFmtId="164" fontId="0" fillId="0" borderId="20" xfId="0" applyNumberFormat="1" applyFill="1" applyBorder="1"/>
    <xf numFmtId="164" fontId="1" fillId="4" borderId="21" xfId="0" applyNumberFormat="1" applyFont="1" applyFill="1" applyBorder="1"/>
    <xf numFmtId="164" fontId="1" fillId="4" borderId="7" xfId="0" applyNumberFormat="1" applyFont="1" applyFill="1" applyBorder="1"/>
    <xf numFmtId="164" fontId="1" fillId="4" borderId="9" xfId="0" applyNumberFormat="1" applyFont="1" applyFill="1" applyBorder="1"/>
    <xf numFmtId="164" fontId="1" fillId="4" borderId="21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/>
    <xf numFmtId="164" fontId="1" fillId="4" borderId="9" xfId="0" applyNumberFormat="1" applyFont="1" applyFill="1" applyBorder="1" applyProtection="1">
      <protection locked="0"/>
    </xf>
    <xf numFmtId="164" fontId="1" fillId="4" borderId="5" xfId="0" applyNumberFormat="1" applyFont="1" applyFill="1" applyBorder="1"/>
    <xf numFmtId="164" fontId="1" fillId="4" borderId="5" xfId="0" applyNumberFormat="1" applyFont="1" applyFill="1" applyBorder="1" applyProtection="1">
      <protection locked="0"/>
    </xf>
    <xf numFmtId="0" fontId="0" fillId="0" borderId="16" xfId="0" applyBorder="1"/>
    <xf numFmtId="0" fontId="0" fillId="0" borderId="22" xfId="0" applyBorder="1"/>
    <xf numFmtId="0" fontId="0" fillId="0" borderId="23" xfId="0" applyBorder="1"/>
    <xf numFmtId="164" fontId="1" fillId="2" borderId="24" xfId="0" applyNumberFormat="1" applyFont="1" applyFill="1" applyBorder="1"/>
    <xf numFmtId="164" fontId="1" fillId="2" borderId="25" xfId="0" applyNumberFormat="1" applyFont="1" applyFill="1" applyBorder="1"/>
    <xf numFmtId="164" fontId="1" fillId="2" borderId="26" xfId="0" applyNumberFormat="1" applyFont="1" applyFill="1" applyBorder="1"/>
    <xf numFmtId="164" fontId="1" fillId="2" borderId="27" xfId="0" applyNumberFormat="1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0" borderId="0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/>
    <xf numFmtId="164" fontId="1" fillId="0" borderId="31" xfId="0" applyNumberFormat="1" applyFont="1" applyFill="1" applyBorder="1" applyProtection="1">
      <protection locked="0"/>
    </xf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Protection="1"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3" borderId="1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4" borderId="16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14" fillId="4" borderId="16" xfId="0" applyFont="1" applyFill="1" applyBorder="1" applyAlignment="1" applyProtection="1">
      <alignment horizontal="left"/>
      <protection locked="0"/>
    </xf>
    <xf numFmtId="0" fontId="14" fillId="4" borderId="0" xfId="0" applyFont="1" applyFill="1" applyBorder="1" applyAlignment="1" applyProtection="1">
      <alignment horizontal="left"/>
      <protection locked="0"/>
    </xf>
    <xf numFmtId="0" fontId="14" fillId="4" borderId="17" xfId="0" applyFont="1" applyFill="1" applyBorder="1" applyAlignment="1" applyProtection="1">
      <alignment horizontal="left"/>
      <protection locked="0"/>
    </xf>
    <xf numFmtId="0" fontId="0" fillId="4" borderId="16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7" xfId="0" applyFont="1" applyFill="1" applyBorder="1" applyAlignment="1" applyProtection="1">
      <alignment horizontal="left"/>
      <protection locked="0"/>
    </xf>
    <xf numFmtId="0" fontId="5" fillId="4" borderId="14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5" fillId="4" borderId="15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164" fontId="8" fillId="3" borderId="12" xfId="0" applyNumberFormat="1" applyFont="1" applyFill="1" applyBorder="1" applyAlignment="1" applyProtection="1">
      <alignment horizontal="center"/>
      <protection locked="0"/>
    </xf>
    <xf numFmtId="164" fontId="8" fillId="3" borderId="19" xfId="0" applyNumberFormat="1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9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66" sqref="A66"/>
    </sheetView>
  </sheetViews>
  <sheetFormatPr defaultRowHeight="15" x14ac:dyDescent="0.25"/>
  <cols>
    <col min="1" max="1" width="48.5703125" customWidth="1"/>
    <col min="2" max="3" width="14.7109375" customWidth="1"/>
    <col min="4" max="5" width="13.5703125" customWidth="1"/>
    <col min="6" max="6" width="18.85546875" customWidth="1"/>
    <col min="7" max="7" width="13.5703125" customWidth="1"/>
    <col min="8" max="8" width="15.7109375" customWidth="1"/>
    <col min="9" max="9" width="14.140625" customWidth="1"/>
    <col min="10" max="10" width="11.5703125" customWidth="1"/>
    <col min="11" max="11" width="10.7109375" customWidth="1"/>
    <col min="12" max="13" width="10.42578125" customWidth="1"/>
    <col min="14" max="14" width="16.42578125" customWidth="1"/>
    <col min="15" max="15" width="1.42578125" customWidth="1"/>
    <col min="16" max="16" width="14.28515625" bestFit="1" customWidth="1"/>
  </cols>
  <sheetData>
    <row r="1" spans="1:17" ht="16.5" x14ac:dyDescent="0.25">
      <c r="A1" s="83" t="s">
        <v>59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7" ht="16.5" x14ac:dyDescent="0.25">
      <c r="A2" s="83" t="s">
        <v>60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7" ht="4.5" customHeight="1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7" ht="19.5" thickBot="1" x14ac:dyDescent="0.35">
      <c r="A4" s="35" t="s">
        <v>99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7" x14ac:dyDescent="0.25">
      <c r="A5" s="85" t="s">
        <v>58</v>
      </c>
      <c r="B5" s="87" t="s">
        <v>48</v>
      </c>
      <c r="C5" s="91" t="s">
        <v>87</v>
      </c>
      <c r="D5" s="89" t="s">
        <v>49</v>
      </c>
      <c r="E5" s="89" t="s">
        <v>88</v>
      </c>
      <c r="F5" s="64" t="s">
        <v>89</v>
      </c>
      <c r="G5" s="68" t="s">
        <v>91</v>
      </c>
      <c r="H5" s="36" t="s">
        <v>63</v>
      </c>
      <c r="I5" s="56" t="s">
        <v>50</v>
      </c>
      <c r="J5" s="89" t="s">
        <v>52</v>
      </c>
      <c r="K5" s="89" t="s">
        <v>53</v>
      </c>
      <c r="L5" s="36" t="s">
        <v>54</v>
      </c>
      <c r="M5" s="36" t="s">
        <v>56</v>
      </c>
      <c r="N5" s="58" t="s">
        <v>50</v>
      </c>
    </row>
    <row r="6" spans="1:17" ht="15.75" thickBot="1" x14ac:dyDescent="0.3">
      <c r="A6" s="86"/>
      <c r="B6" s="88"/>
      <c r="C6" s="92"/>
      <c r="D6" s="90"/>
      <c r="E6" s="90"/>
      <c r="F6" s="67" t="s">
        <v>90</v>
      </c>
      <c r="G6" s="69" t="s">
        <v>67</v>
      </c>
      <c r="H6" s="37" t="s">
        <v>64</v>
      </c>
      <c r="I6" s="57" t="s">
        <v>51</v>
      </c>
      <c r="J6" s="90"/>
      <c r="K6" s="90"/>
      <c r="L6" s="37" t="s">
        <v>55</v>
      </c>
      <c r="M6" s="37" t="s">
        <v>55</v>
      </c>
      <c r="N6" s="59" t="s">
        <v>57</v>
      </c>
    </row>
    <row r="7" spans="1:17" x14ac:dyDescent="0.25">
      <c r="A7" s="49" t="s">
        <v>0</v>
      </c>
      <c r="B7" s="43">
        <f>8305.82+4069.85</f>
        <v>12375.67</v>
      </c>
      <c r="C7" s="70">
        <v>3322.33</v>
      </c>
      <c r="D7" s="76"/>
      <c r="E7" s="76">
        <f>803.97+2009.92+98.86+1266.25+167.65</f>
        <v>4346.6499999999996</v>
      </c>
      <c r="F7" s="76">
        <f>1339.95+3349.88+1641.44+2110.42+279.41</f>
        <v>8721.1</v>
      </c>
      <c r="G7" s="76"/>
      <c r="H7" s="77"/>
      <c r="I7" s="40">
        <f>SUM(B7:H7)</f>
        <v>28765.75</v>
      </c>
      <c r="J7" s="10">
        <v>3323.9</v>
      </c>
      <c r="K7" s="10">
        <f>285.23+427.85</f>
        <v>713.08</v>
      </c>
      <c r="L7" s="4">
        <f t="shared" ref="L7:L13" si="0">I7-J7-K7-P7</f>
        <v>13110.479999999996</v>
      </c>
      <c r="M7" s="3">
        <f>SUM(J7:L7)</f>
        <v>17147.459999999995</v>
      </c>
      <c r="N7" s="52">
        <f>SUM(I7-M7)</f>
        <v>11618.290000000005</v>
      </c>
      <c r="O7" s="60"/>
      <c r="P7" s="61">
        <v>11618.29</v>
      </c>
    </row>
    <row r="8" spans="1:17" x14ac:dyDescent="0.25">
      <c r="A8" s="50" t="s">
        <v>1</v>
      </c>
      <c r="B8" s="44">
        <v>5308.77</v>
      </c>
      <c r="C8" s="71"/>
      <c r="D8" s="78"/>
      <c r="E8" s="78"/>
      <c r="F8" s="78"/>
      <c r="G8" s="78"/>
      <c r="H8" s="79"/>
      <c r="I8" s="41">
        <f>SUM(B8:H8)</f>
        <v>5308.77</v>
      </c>
      <c r="J8" s="11">
        <v>424.96</v>
      </c>
      <c r="K8" s="11">
        <v>602.16</v>
      </c>
      <c r="L8" s="4">
        <f t="shared" si="0"/>
        <v>41.220000000000255</v>
      </c>
      <c r="M8" s="4">
        <f t="shared" ref="M8:M66" si="1">SUM(J8:L8)</f>
        <v>1068.3400000000001</v>
      </c>
      <c r="N8" s="53">
        <f t="shared" ref="N8:N66" si="2">SUM(I8-M8)</f>
        <v>4240.43</v>
      </c>
      <c r="O8" s="60"/>
      <c r="P8" s="61">
        <v>4240.43</v>
      </c>
    </row>
    <row r="9" spans="1:17" x14ac:dyDescent="0.25">
      <c r="A9" s="50" t="s">
        <v>2</v>
      </c>
      <c r="B9" s="44">
        <f>1778.39+106.7</f>
        <v>1885.0900000000001</v>
      </c>
      <c r="C9" s="71"/>
      <c r="D9" s="78"/>
      <c r="E9" s="78">
        <f>541.25+32.48+191.24</f>
        <v>764.97</v>
      </c>
      <c r="F9" s="78"/>
      <c r="G9" s="78"/>
      <c r="H9" s="79"/>
      <c r="I9" s="41">
        <f t="shared" ref="I9:I41" si="3">SUM(B9:H9)</f>
        <v>2650.0600000000004</v>
      </c>
      <c r="J9" s="11"/>
      <c r="K9" s="11">
        <f>178.1+61.53</f>
        <v>239.63</v>
      </c>
      <c r="L9" s="4">
        <f t="shared" si="0"/>
        <v>1815.3800000000003</v>
      </c>
      <c r="M9" s="4">
        <f t="shared" si="1"/>
        <v>2055.0100000000002</v>
      </c>
      <c r="N9" s="53">
        <f t="shared" si="2"/>
        <v>595.05000000000018</v>
      </c>
      <c r="O9" s="60"/>
      <c r="P9" s="61">
        <v>595.04999999999995</v>
      </c>
    </row>
    <row r="10" spans="1:17" x14ac:dyDescent="0.25">
      <c r="A10" s="50" t="s">
        <v>83</v>
      </c>
      <c r="B10" s="44">
        <v>4271.97</v>
      </c>
      <c r="C10" s="71"/>
      <c r="D10" s="78"/>
      <c r="E10" s="78"/>
      <c r="F10" s="78"/>
      <c r="G10" s="78"/>
      <c r="H10" s="79"/>
      <c r="I10" s="41">
        <f t="shared" si="3"/>
        <v>4271.97</v>
      </c>
      <c r="J10" s="11">
        <v>222.24</v>
      </c>
      <c r="K10" s="11">
        <v>457.01</v>
      </c>
      <c r="L10" s="4">
        <f t="shared" ref="L10" si="4">I10-J10-K10-P10</f>
        <v>41.220000000000255</v>
      </c>
      <c r="M10" s="4">
        <f t="shared" ref="M10" si="5">SUM(J10:L10)</f>
        <v>720.47000000000025</v>
      </c>
      <c r="N10" s="53">
        <f t="shared" ref="N10" si="6">SUM(I10-M10)</f>
        <v>3551.5</v>
      </c>
      <c r="O10" s="60"/>
      <c r="P10" s="61">
        <v>3551.5</v>
      </c>
    </row>
    <row r="11" spans="1:17" x14ac:dyDescent="0.25">
      <c r="A11" s="50" t="s">
        <v>72</v>
      </c>
      <c r="B11" s="44">
        <v>1882.88</v>
      </c>
      <c r="C11" s="71">
        <v>1000</v>
      </c>
      <c r="D11" s="78"/>
      <c r="E11" s="78"/>
      <c r="F11" s="78"/>
      <c r="G11" s="78"/>
      <c r="H11" s="79"/>
      <c r="I11" s="41">
        <f t="shared" si="3"/>
        <v>2882.88</v>
      </c>
      <c r="J11" s="11">
        <v>53.35</v>
      </c>
      <c r="K11" s="11">
        <v>267.57</v>
      </c>
      <c r="L11" s="4">
        <f t="shared" si="0"/>
        <v>94.300000000000182</v>
      </c>
      <c r="M11" s="4">
        <f t="shared" si="1"/>
        <v>415.2200000000002</v>
      </c>
      <c r="N11" s="53">
        <f t="shared" si="2"/>
        <v>2467.66</v>
      </c>
      <c r="O11" s="60"/>
      <c r="P11" s="61">
        <v>2467.66</v>
      </c>
    </row>
    <row r="12" spans="1:17" x14ac:dyDescent="0.25">
      <c r="A12" s="50" t="s">
        <v>3</v>
      </c>
      <c r="B12" s="44">
        <f>640.02+70.4+153.51</f>
        <v>863.93</v>
      </c>
      <c r="C12" s="71"/>
      <c r="D12" s="78"/>
      <c r="E12" s="78">
        <f>1760.04+176.01+645.35+23.45</f>
        <v>2604.85</v>
      </c>
      <c r="F12" s="78"/>
      <c r="G12" s="78"/>
      <c r="H12" s="79"/>
      <c r="I12" s="41">
        <f t="shared" si="3"/>
        <v>3468.7799999999997</v>
      </c>
      <c r="J12" s="11">
        <v>92.01</v>
      </c>
      <c r="K12" s="11">
        <f>65.12+257.95</f>
        <v>323.07</v>
      </c>
      <c r="L12" s="4">
        <f t="shared" si="0"/>
        <v>3053.6999999999994</v>
      </c>
      <c r="M12" s="4">
        <f t="shared" si="1"/>
        <v>3468.7799999999993</v>
      </c>
      <c r="N12" s="53">
        <f>SUM(I12-M12)+G12</f>
        <v>4.5474735088646412E-13</v>
      </c>
      <c r="O12" s="60"/>
      <c r="P12" s="61">
        <v>0</v>
      </c>
      <c r="Q12" s="1"/>
    </row>
    <row r="13" spans="1:17" x14ac:dyDescent="0.25">
      <c r="A13" s="50" t="s">
        <v>4</v>
      </c>
      <c r="B13" s="44">
        <f>778.02+178.94+135.24</f>
        <v>1092.2</v>
      </c>
      <c r="C13" s="71"/>
      <c r="D13" s="78"/>
      <c r="E13" s="78">
        <f>2139.54+492.1+877.21</f>
        <v>3508.85</v>
      </c>
      <c r="F13" s="78"/>
      <c r="G13" s="78"/>
      <c r="H13" s="79"/>
      <c r="I13" s="41">
        <f t="shared" si="3"/>
        <v>4601.05</v>
      </c>
      <c r="J13" s="11"/>
      <c r="K13" s="11">
        <f>387.79+96.36</f>
        <v>484.15000000000003</v>
      </c>
      <c r="L13" s="4">
        <f t="shared" si="0"/>
        <v>4116.9000000000005</v>
      </c>
      <c r="M13" s="4">
        <f t="shared" si="1"/>
        <v>4601.05</v>
      </c>
      <c r="N13" s="53">
        <f t="shared" si="2"/>
        <v>0</v>
      </c>
      <c r="O13" s="60"/>
      <c r="P13" s="61">
        <v>0</v>
      </c>
    </row>
    <row r="14" spans="1:17" x14ac:dyDescent="0.25">
      <c r="A14" s="50" t="s">
        <v>5</v>
      </c>
      <c r="B14" s="44">
        <f>11980.55+5930.37</f>
        <v>17910.919999999998</v>
      </c>
      <c r="C14" s="71">
        <f>4792.22+1198.06</f>
        <v>5990.2800000000007</v>
      </c>
      <c r="D14" s="78"/>
      <c r="E14" s="78"/>
      <c r="F14" s="78"/>
      <c r="G14" s="78"/>
      <c r="H14" s="79"/>
      <c r="I14" s="41">
        <f t="shared" si="3"/>
        <v>23901.199999999997</v>
      </c>
      <c r="J14" s="11">
        <v>5507.37</v>
      </c>
      <c r="K14" s="11">
        <v>713.08</v>
      </c>
      <c r="L14" s="4">
        <f>I14-J14-K14-P14</f>
        <v>104.64999999999782</v>
      </c>
      <c r="M14" s="4">
        <f t="shared" si="1"/>
        <v>6325.0999999999976</v>
      </c>
      <c r="N14" s="53">
        <f t="shared" si="2"/>
        <v>17576.099999999999</v>
      </c>
      <c r="O14" s="60"/>
      <c r="P14" s="61">
        <v>17576.099999999999</v>
      </c>
    </row>
    <row r="15" spans="1:17" x14ac:dyDescent="0.25">
      <c r="A15" s="50" t="s">
        <v>6</v>
      </c>
      <c r="B15" s="44">
        <f>10370.38+3608.89</f>
        <v>13979.269999999999</v>
      </c>
      <c r="C15" s="71">
        <v>2074.08</v>
      </c>
      <c r="D15" s="78"/>
      <c r="E15" s="78"/>
      <c r="F15" s="78"/>
      <c r="G15" s="78"/>
      <c r="H15" s="79"/>
      <c r="I15" s="41">
        <f t="shared" si="3"/>
        <v>16053.349999999999</v>
      </c>
      <c r="J15" s="11">
        <v>3297.08</v>
      </c>
      <c r="K15" s="11">
        <v>713.08</v>
      </c>
      <c r="L15" s="4">
        <f t="shared" ref="L15:L42" si="7">I15-J15-K15-P15</f>
        <v>232.65999999999804</v>
      </c>
      <c r="M15" s="4">
        <f t="shared" si="1"/>
        <v>4242.8199999999979</v>
      </c>
      <c r="N15" s="53">
        <f t="shared" si="2"/>
        <v>11810.53</v>
      </c>
      <c r="O15" s="60"/>
      <c r="P15" s="61">
        <v>11810.53</v>
      </c>
    </row>
    <row r="16" spans="1:17" x14ac:dyDescent="0.25">
      <c r="A16" s="50" t="s">
        <v>7</v>
      </c>
      <c r="B16" s="44">
        <f>3993.52+1174.09</f>
        <v>5167.6099999999997</v>
      </c>
      <c r="C16" s="71">
        <v>1597.41</v>
      </c>
      <c r="D16" s="78"/>
      <c r="E16" s="78">
        <f>7987.03+2348.19+4510.01+3194.81</f>
        <v>18040.04</v>
      </c>
      <c r="F16" s="78">
        <f>3194.82+939.27+1804+1277.93</f>
        <v>7216.02</v>
      </c>
      <c r="G16" s="78"/>
      <c r="H16" s="79"/>
      <c r="I16" s="41">
        <f t="shared" si="3"/>
        <v>32021.08</v>
      </c>
      <c r="J16" s="11">
        <f>991.02+3895.55</f>
        <v>4886.57</v>
      </c>
      <c r="K16" s="11">
        <v>713.08</v>
      </c>
      <c r="L16" s="4">
        <f t="shared" si="7"/>
        <v>20754.78</v>
      </c>
      <c r="M16" s="4">
        <f t="shared" si="1"/>
        <v>26354.43</v>
      </c>
      <c r="N16" s="53">
        <f t="shared" si="2"/>
        <v>5666.6500000000015</v>
      </c>
      <c r="O16" s="60"/>
      <c r="P16" s="61">
        <v>5666.65</v>
      </c>
    </row>
    <row r="17" spans="1:16" x14ac:dyDescent="0.25">
      <c r="A17" s="50" t="s">
        <v>8</v>
      </c>
      <c r="B17" s="44">
        <f>1819.32+127.35</f>
        <v>1946.6699999999998</v>
      </c>
      <c r="C17" s="71"/>
      <c r="D17" s="78"/>
      <c r="E17" s="78">
        <f>454.83+31.84+162.22</f>
        <v>648.89</v>
      </c>
      <c r="F17" s="78"/>
      <c r="G17" s="78"/>
      <c r="H17" s="79"/>
      <c r="I17" s="41">
        <f t="shared" si="3"/>
        <v>2595.56</v>
      </c>
      <c r="J17" s="11"/>
      <c r="K17" s="11">
        <f>167.28+65.81</f>
        <v>233.09</v>
      </c>
      <c r="L17" s="4">
        <f t="shared" si="7"/>
        <v>600.72999999999979</v>
      </c>
      <c r="M17" s="4">
        <f t="shared" si="1"/>
        <v>833.81999999999982</v>
      </c>
      <c r="N17" s="53">
        <f t="shared" si="2"/>
        <v>1761.7400000000002</v>
      </c>
      <c r="O17" s="60"/>
      <c r="P17" s="61">
        <v>1761.74</v>
      </c>
    </row>
    <row r="18" spans="1:16" x14ac:dyDescent="0.25">
      <c r="A18" s="50" t="s">
        <v>9</v>
      </c>
      <c r="B18" s="44">
        <f>475.05+118.76</f>
        <v>593.81000000000006</v>
      </c>
      <c r="C18" s="71"/>
      <c r="D18" s="78"/>
      <c r="E18" s="78">
        <f>1306.37+326.6+544.32</f>
        <v>2177.29</v>
      </c>
      <c r="F18" s="78"/>
      <c r="G18" s="78"/>
      <c r="H18" s="79"/>
      <c r="I18" s="41">
        <f t="shared" si="3"/>
        <v>2771.1</v>
      </c>
      <c r="J18" s="11"/>
      <c r="K18" s="11">
        <f>50.36+203.8</f>
        <v>254.16000000000003</v>
      </c>
      <c r="L18" s="4">
        <f t="shared" si="7"/>
        <v>1988.68</v>
      </c>
      <c r="M18" s="4">
        <f t="shared" si="1"/>
        <v>2242.84</v>
      </c>
      <c r="N18" s="53">
        <f t="shared" si="2"/>
        <v>528.25999999999976</v>
      </c>
      <c r="O18" s="60"/>
      <c r="P18" s="61">
        <v>528.26</v>
      </c>
    </row>
    <row r="19" spans="1:16" x14ac:dyDescent="0.25">
      <c r="A19" s="50" t="s">
        <v>82</v>
      </c>
      <c r="B19" s="44">
        <f>2669.57+26.7</f>
        <v>2696.27</v>
      </c>
      <c r="C19" s="71"/>
      <c r="D19" s="78"/>
      <c r="E19" s="78"/>
      <c r="F19" s="78"/>
      <c r="G19" s="78"/>
      <c r="H19" s="79"/>
      <c r="I19" s="41">
        <f t="shared" si="3"/>
        <v>2696.27</v>
      </c>
      <c r="J19" s="11">
        <v>26.81</v>
      </c>
      <c r="K19" s="11">
        <v>245.18</v>
      </c>
      <c r="L19" s="4">
        <f t="shared" si="7"/>
        <v>242</v>
      </c>
      <c r="M19" s="4">
        <f t="shared" si="1"/>
        <v>513.99</v>
      </c>
      <c r="N19" s="53">
        <f t="shared" si="2"/>
        <v>2182.2799999999997</v>
      </c>
      <c r="O19" s="60"/>
      <c r="P19" s="61">
        <v>2182.2800000000002</v>
      </c>
    </row>
    <row r="20" spans="1:16" x14ac:dyDescent="0.25">
      <c r="A20" s="50" t="s">
        <v>10</v>
      </c>
      <c r="B20" s="44">
        <f>3015.64+470.44</f>
        <v>3486.08</v>
      </c>
      <c r="C20" s="71">
        <v>603.13</v>
      </c>
      <c r="D20" s="78"/>
      <c r="E20" s="78">
        <f>402.08+2010.42+313.62+908.71</f>
        <v>3634.83</v>
      </c>
      <c r="F20" s="78"/>
      <c r="G20" s="78"/>
      <c r="H20" s="79"/>
      <c r="I20" s="41">
        <f t="shared" si="3"/>
        <v>7724.04</v>
      </c>
      <c r="J20" s="11">
        <f>127.7+306.69</f>
        <v>434.39</v>
      </c>
      <c r="K20" s="11">
        <f>303.77+409.31</f>
        <v>713.07999999999993</v>
      </c>
      <c r="L20" s="4">
        <f t="shared" si="7"/>
        <v>3288.3199999999997</v>
      </c>
      <c r="M20" s="4">
        <f t="shared" si="1"/>
        <v>4435.7899999999991</v>
      </c>
      <c r="N20" s="53">
        <f t="shared" si="2"/>
        <v>3288.2500000000009</v>
      </c>
      <c r="O20" s="60"/>
      <c r="P20" s="61">
        <v>3288.25</v>
      </c>
    </row>
    <row r="21" spans="1:16" x14ac:dyDescent="0.25">
      <c r="A21" s="50" t="s">
        <v>11</v>
      </c>
      <c r="B21" s="44">
        <f>2274.15+181.93</f>
        <v>2456.08</v>
      </c>
      <c r="C21" s="71"/>
      <c r="D21" s="78"/>
      <c r="E21" s="78"/>
      <c r="F21" s="78"/>
      <c r="G21" s="78"/>
      <c r="H21" s="79"/>
      <c r="I21" s="41">
        <f t="shared" si="3"/>
        <v>2456.08</v>
      </c>
      <c r="J21" s="11">
        <v>25.18</v>
      </c>
      <c r="K21" s="11">
        <v>216.35</v>
      </c>
      <c r="L21" s="4">
        <f t="shared" si="7"/>
        <v>6.2800000000002001</v>
      </c>
      <c r="M21" s="4">
        <f t="shared" si="1"/>
        <v>247.8100000000002</v>
      </c>
      <c r="N21" s="53">
        <f t="shared" si="2"/>
        <v>2208.2699999999995</v>
      </c>
      <c r="O21" s="60"/>
      <c r="P21" s="61">
        <v>2208.27</v>
      </c>
    </row>
    <row r="22" spans="1:16" x14ac:dyDescent="0.25">
      <c r="A22" s="50" t="s">
        <v>12</v>
      </c>
      <c r="B22" s="44">
        <f>13212.02+7141.1</f>
        <v>20353.120000000003</v>
      </c>
      <c r="C22" s="71">
        <v>17836.23</v>
      </c>
      <c r="D22" s="78"/>
      <c r="E22" s="78"/>
      <c r="F22" s="78"/>
      <c r="G22" s="78"/>
      <c r="H22" s="79"/>
      <c r="I22" s="41">
        <f t="shared" si="3"/>
        <v>38189.350000000006</v>
      </c>
      <c r="J22" s="11">
        <v>9436.61</v>
      </c>
      <c r="K22" s="11">
        <v>713.08</v>
      </c>
      <c r="L22" s="4">
        <f t="shared" si="7"/>
        <v>263.9700000000048</v>
      </c>
      <c r="M22" s="4">
        <f t="shared" si="1"/>
        <v>10413.660000000005</v>
      </c>
      <c r="N22" s="53">
        <f t="shared" si="2"/>
        <v>27775.690000000002</v>
      </c>
      <c r="O22" s="60"/>
      <c r="P22" s="61">
        <v>27775.69</v>
      </c>
    </row>
    <row r="23" spans="1:16" x14ac:dyDescent="0.25">
      <c r="A23" s="50" t="s">
        <v>13</v>
      </c>
      <c r="B23" s="44">
        <f>11980.55+3737.93</f>
        <v>15718.48</v>
      </c>
      <c r="C23" s="71">
        <v>2396.11</v>
      </c>
      <c r="D23" s="78"/>
      <c r="E23" s="78"/>
      <c r="F23" s="78"/>
      <c r="G23" s="78"/>
      <c r="H23" s="79"/>
      <c r="I23" s="41">
        <f t="shared" si="3"/>
        <v>18114.59</v>
      </c>
      <c r="J23" s="11">
        <v>3863.92</v>
      </c>
      <c r="K23" s="11">
        <v>713.08</v>
      </c>
      <c r="L23" s="4">
        <f t="shared" si="7"/>
        <v>2145.16</v>
      </c>
      <c r="M23" s="4">
        <f t="shared" si="1"/>
        <v>6722.16</v>
      </c>
      <c r="N23" s="53">
        <f t="shared" si="2"/>
        <v>11392.43</v>
      </c>
      <c r="O23" s="60"/>
      <c r="P23" s="61">
        <v>11392.43</v>
      </c>
    </row>
    <row r="24" spans="1:16" x14ac:dyDescent="0.25">
      <c r="A24" s="50" t="s">
        <v>14</v>
      </c>
      <c r="B24" s="44">
        <v>6364.31</v>
      </c>
      <c r="C24" s="71"/>
      <c r="D24" s="78"/>
      <c r="E24" s="78"/>
      <c r="F24" s="78"/>
      <c r="G24" s="78"/>
      <c r="H24" s="79"/>
      <c r="I24" s="41">
        <f t="shared" si="3"/>
        <v>6364.31</v>
      </c>
      <c r="J24" s="11">
        <v>580.45000000000005</v>
      </c>
      <c r="K24" s="11">
        <v>713.08</v>
      </c>
      <c r="L24" s="4">
        <f t="shared" si="7"/>
        <v>1281.5500000000006</v>
      </c>
      <c r="M24" s="4">
        <f t="shared" si="1"/>
        <v>2575.0800000000008</v>
      </c>
      <c r="N24" s="53">
        <f t="shared" si="2"/>
        <v>3789.2299999999996</v>
      </c>
      <c r="O24" s="60"/>
      <c r="P24" s="61">
        <v>3789.23</v>
      </c>
    </row>
    <row r="25" spans="1:16" x14ac:dyDescent="0.25">
      <c r="A25" s="50" t="s">
        <v>69</v>
      </c>
      <c r="B25" s="44">
        <v>2832.98</v>
      </c>
      <c r="C25" s="71"/>
      <c r="D25" s="78"/>
      <c r="E25" s="78"/>
      <c r="F25" s="78"/>
      <c r="G25" s="78"/>
      <c r="H25" s="79"/>
      <c r="I25" s="41">
        <f t="shared" si="3"/>
        <v>2832.98</v>
      </c>
      <c r="J25" s="11">
        <v>50.05</v>
      </c>
      <c r="K25" s="11">
        <v>261.58</v>
      </c>
      <c r="L25" s="4">
        <f t="shared" si="7"/>
        <v>102.13999999999987</v>
      </c>
      <c r="M25" s="4">
        <f t="shared" si="1"/>
        <v>413.76999999999987</v>
      </c>
      <c r="N25" s="53">
        <f t="shared" si="2"/>
        <v>2419.21</v>
      </c>
      <c r="O25" s="60"/>
      <c r="P25" s="61">
        <v>2419.21</v>
      </c>
    </row>
    <row r="26" spans="1:16" x14ac:dyDescent="0.25">
      <c r="A26" s="50" t="s">
        <v>15</v>
      </c>
      <c r="B26" s="44">
        <f>11980.55+3737.93</f>
        <v>15718.48</v>
      </c>
      <c r="C26" s="71">
        <v>2396.11</v>
      </c>
      <c r="D26" s="78"/>
      <c r="E26" s="78"/>
      <c r="F26" s="78"/>
      <c r="G26" s="78"/>
      <c r="H26" s="79"/>
      <c r="I26" s="41">
        <f t="shared" si="3"/>
        <v>18114.59</v>
      </c>
      <c r="J26" s="11">
        <v>3863.92</v>
      </c>
      <c r="K26" s="11">
        <v>713.08</v>
      </c>
      <c r="L26" s="4">
        <f t="shared" si="7"/>
        <v>4327.3700000000008</v>
      </c>
      <c r="M26" s="4">
        <f t="shared" si="1"/>
        <v>8904.3700000000008</v>
      </c>
      <c r="N26" s="53">
        <f t="shared" si="2"/>
        <v>9210.2199999999993</v>
      </c>
      <c r="O26" s="60"/>
      <c r="P26" s="61">
        <v>9210.2199999999993</v>
      </c>
    </row>
    <row r="27" spans="1:16" x14ac:dyDescent="0.25">
      <c r="A27" s="50" t="s">
        <v>16</v>
      </c>
      <c r="B27" s="44">
        <f>1738.88+504.28</f>
        <v>2243.16</v>
      </c>
      <c r="C27" s="71"/>
      <c r="D27" s="78"/>
      <c r="E27" s="78">
        <f>3477.77+1008.55+1495.44</f>
        <v>5981.76</v>
      </c>
      <c r="F27" s="78"/>
      <c r="G27" s="78">
        <f>2608.32+756.41</f>
        <v>3364.73</v>
      </c>
      <c r="H27" s="79"/>
      <c r="I27" s="41">
        <f t="shared" si="3"/>
        <v>11589.65</v>
      </c>
      <c r="J27" s="11">
        <v>479.84</v>
      </c>
      <c r="K27" s="11">
        <v>713.08</v>
      </c>
      <c r="L27" s="4">
        <f t="shared" si="7"/>
        <v>8176.5499999999993</v>
      </c>
      <c r="M27" s="4">
        <f t="shared" si="1"/>
        <v>9369.4699999999993</v>
      </c>
      <c r="N27" s="53">
        <f>SUM(I27-M27)+G27</f>
        <v>5584.91</v>
      </c>
      <c r="O27" s="60"/>
      <c r="P27" s="61">
        <v>2220.1799999999998</v>
      </c>
    </row>
    <row r="28" spans="1:16" x14ac:dyDescent="0.25">
      <c r="A28" s="50" t="s">
        <v>17</v>
      </c>
      <c r="B28" s="44">
        <v>7426.39</v>
      </c>
      <c r="C28" s="71"/>
      <c r="D28" s="78"/>
      <c r="E28" s="78"/>
      <c r="F28" s="78"/>
      <c r="G28" s="78"/>
      <c r="H28" s="79"/>
      <c r="I28" s="41">
        <f t="shared" si="3"/>
        <v>7426.39</v>
      </c>
      <c r="J28" s="11">
        <v>976.8</v>
      </c>
      <c r="K28" s="11">
        <v>713.08</v>
      </c>
      <c r="L28" s="4">
        <f t="shared" si="7"/>
        <v>6.2800000000006548</v>
      </c>
      <c r="M28" s="4">
        <f t="shared" si="1"/>
        <v>1696.1600000000008</v>
      </c>
      <c r="N28" s="53">
        <f t="shared" si="2"/>
        <v>5730.23</v>
      </c>
      <c r="O28" s="60"/>
      <c r="P28" s="61">
        <v>5730.23</v>
      </c>
    </row>
    <row r="29" spans="1:16" x14ac:dyDescent="0.25">
      <c r="A29" s="50" t="s">
        <v>18</v>
      </c>
      <c r="B29" s="45">
        <f>583.34+46.67</f>
        <v>630.01</v>
      </c>
      <c r="C29" s="72"/>
      <c r="D29" s="78"/>
      <c r="E29" s="78">
        <f>1604.18+128.33+577.51</f>
        <v>2310.02</v>
      </c>
      <c r="F29" s="78"/>
      <c r="G29" s="78"/>
      <c r="H29" s="79"/>
      <c r="I29" s="41">
        <f t="shared" si="3"/>
        <v>2940.0299999999997</v>
      </c>
      <c r="J29" s="11"/>
      <c r="K29" s="11">
        <f>54.47+219.96</f>
        <v>274.43</v>
      </c>
      <c r="L29" s="4">
        <f t="shared" si="7"/>
        <v>2128.34</v>
      </c>
      <c r="M29" s="4">
        <f t="shared" si="1"/>
        <v>2402.77</v>
      </c>
      <c r="N29" s="53">
        <f t="shared" si="2"/>
        <v>537.25999999999976</v>
      </c>
      <c r="O29" s="60"/>
      <c r="P29" s="61">
        <v>537.26</v>
      </c>
    </row>
    <row r="30" spans="1:16" x14ac:dyDescent="0.25">
      <c r="A30" s="50" t="s">
        <v>19</v>
      </c>
      <c r="B30" s="44">
        <f>4294.59+1058.92</f>
        <v>5353.51</v>
      </c>
      <c r="C30" s="71">
        <v>1000</v>
      </c>
      <c r="D30" s="78"/>
      <c r="E30" s="78"/>
      <c r="F30" s="78"/>
      <c r="G30" s="78"/>
      <c r="H30" s="79"/>
      <c r="I30" s="41">
        <f t="shared" si="3"/>
        <v>6353.51</v>
      </c>
      <c r="J30" s="11">
        <v>577.48</v>
      </c>
      <c r="K30" s="11">
        <v>713.08</v>
      </c>
      <c r="L30" s="4">
        <f t="shared" si="7"/>
        <v>645.5600000000004</v>
      </c>
      <c r="M30" s="4">
        <f t="shared" si="1"/>
        <v>1936.1200000000003</v>
      </c>
      <c r="N30" s="53">
        <f t="shared" si="2"/>
        <v>4417.3899999999994</v>
      </c>
      <c r="O30" s="60"/>
      <c r="P30" s="61">
        <v>4417.3900000000003</v>
      </c>
    </row>
    <row r="31" spans="1:16" x14ac:dyDescent="0.25">
      <c r="A31" s="50" t="s">
        <v>20</v>
      </c>
      <c r="B31" s="44">
        <v>6172.48</v>
      </c>
      <c r="C31" s="71"/>
      <c r="D31" s="78"/>
      <c r="E31" s="78"/>
      <c r="F31" s="78"/>
      <c r="G31" s="78"/>
      <c r="H31" s="79"/>
      <c r="I31" s="41">
        <f t="shared" si="3"/>
        <v>6172.48</v>
      </c>
      <c r="J31" s="11">
        <v>631.97</v>
      </c>
      <c r="K31" s="11">
        <v>713.08</v>
      </c>
      <c r="L31" s="4">
        <f t="shared" si="7"/>
        <v>216.53999999999905</v>
      </c>
      <c r="M31" s="4">
        <f t="shared" si="1"/>
        <v>1561.5899999999992</v>
      </c>
      <c r="N31" s="53">
        <f t="shared" si="2"/>
        <v>4610.8900000000003</v>
      </c>
      <c r="O31" s="60"/>
      <c r="P31" s="61">
        <v>4610.8900000000003</v>
      </c>
    </row>
    <row r="32" spans="1:16" x14ac:dyDescent="0.25">
      <c r="A32" s="50" t="s">
        <v>21</v>
      </c>
      <c r="B32" s="44">
        <f>4721.08+1369.11</f>
        <v>6090.19</v>
      </c>
      <c r="C32" s="71"/>
      <c r="D32" s="78"/>
      <c r="E32" s="78">
        <f>944.22+273.82+406.01</f>
        <v>1624.05</v>
      </c>
      <c r="F32" s="78"/>
      <c r="G32" s="78"/>
      <c r="H32" s="79"/>
      <c r="I32" s="41">
        <f t="shared" si="3"/>
        <v>7714.24</v>
      </c>
      <c r="J32" s="11">
        <f>658.94+338.37</f>
        <v>997.31000000000006</v>
      </c>
      <c r="K32" s="11">
        <v>713.08</v>
      </c>
      <c r="L32" s="4">
        <f t="shared" si="7"/>
        <v>2486.6599999999994</v>
      </c>
      <c r="M32" s="4">
        <f t="shared" si="1"/>
        <v>4197.0499999999993</v>
      </c>
      <c r="N32" s="53">
        <f t="shared" si="2"/>
        <v>3517.1900000000005</v>
      </c>
      <c r="O32" s="60"/>
      <c r="P32" s="61">
        <v>3517.19</v>
      </c>
    </row>
    <row r="33" spans="1:16" x14ac:dyDescent="0.25">
      <c r="A33" s="50" t="s">
        <v>74</v>
      </c>
      <c r="B33" s="44">
        <v>4530.08</v>
      </c>
      <c r="C33" s="71"/>
      <c r="D33" s="78"/>
      <c r="E33" s="78"/>
      <c r="F33" s="78"/>
      <c r="G33" s="78"/>
      <c r="H33" s="79"/>
      <c r="I33" s="41">
        <f t="shared" si="3"/>
        <v>4530.08</v>
      </c>
      <c r="J33" s="11">
        <v>272.18</v>
      </c>
      <c r="K33" s="11">
        <v>493.15</v>
      </c>
      <c r="L33" s="4">
        <f t="shared" ref="L33" si="8">I33-J33-K33-P33</f>
        <v>41.219999999999345</v>
      </c>
      <c r="M33" s="4">
        <f t="shared" ref="M33" si="9">SUM(J33:L33)</f>
        <v>806.54999999999927</v>
      </c>
      <c r="N33" s="53">
        <f>SUM(I33-M33)+G33</f>
        <v>3723.5300000000007</v>
      </c>
      <c r="O33" s="60"/>
      <c r="P33" s="61">
        <v>3723.53</v>
      </c>
    </row>
    <row r="34" spans="1:16" x14ac:dyDescent="0.25">
      <c r="A34" s="50" t="s">
        <v>22</v>
      </c>
      <c r="B34" s="44">
        <f>458.46+91.69</f>
        <v>550.15</v>
      </c>
      <c r="C34" s="71"/>
      <c r="D34" s="78"/>
      <c r="E34" s="78">
        <f>1260.77+252.16+504.31</f>
        <v>2017.24</v>
      </c>
      <c r="F34" s="78"/>
      <c r="G34" s="78"/>
      <c r="H34" s="79"/>
      <c r="I34" s="41">
        <f t="shared" si="3"/>
        <v>2567.39</v>
      </c>
      <c r="J34" s="11"/>
      <c r="K34" s="11">
        <f>184.59+45.12</f>
        <v>229.71</v>
      </c>
      <c r="L34" s="4">
        <f t="shared" si="7"/>
        <v>1838.9299999999998</v>
      </c>
      <c r="M34" s="4">
        <f t="shared" si="1"/>
        <v>2068.64</v>
      </c>
      <c r="N34" s="53">
        <f>SUM(I34-M34)+G34</f>
        <v>498.75</v>
      </c>
      <c r="O34" s="60"/>
      <c r="P34" s="61">
        <v>498.75</v>
      </c>
    </row>
    <row r="35" spans="1:16" x14ac:dyDescent="0.25">
      <c r="A35" s="50" t="s">
        <v>23</v>
      </c>
      <c r="B35" s="44">
        <f>5021.09+662.78</f>
        <v>5683.87</v>
      </c>
      <c r="C35" s="71">
        <v>1004.22</v>
      </c>
      <c r="D35" s="78"/>
      <c r="E35" s="78"/>
      <c r="F35" s="78"/>
      <c r="G35" s="78"/>
      <c r="H35" s="79"/>
      <c r="I35" s="41">
        <f t="shared" si="3"/>
        <v>6688.09</v>
      </c>
      <c r="J35" s="11">
        <v>773.77</v>
      </c>
      <c r="K35" s="11">
        <v>713.08</v>
      </c>
      <c r="L35" s="4">
        <f t="shared" si="7"/>
        <v>66.219999999999345</v>
      </c>
      <c r="M35" s="4">
        <f t="shared" si="1"/>
        <v>1553.0699999999993</v>
      </c>
      <c r="N35" s="53">
        <f t="shared" si="2"/>
        <v>5135.0200000000004</v>
      </c>
      <c r="O35" s="60"/>
      <c r="P35" s="61">
        <v>5135.0200000000004</v>
      </c>
    </row>
    <row r="36" spans="1:16" x14ac:dyDescent="0.25">
      <c r="A36" s="50" t="s">
        <v>24</v>
      </c>
      <c r="B36" s="44">
        <f>9185.09+2865.75</f>
        <v>12050.84</v>
      </c>
      <c r="C36" s="71">
        <v>1837.02</v>
      </c>
      <c r="D36" s="78"/>
      <c r="E36" s="78">
        <f>559.09+2795.46+872.19+1408.91</f>
        <v>5635.65</v>
      </c>
      <c r="F36" s="78"/>
      <c r="G36" s="78"/>
      <c r="H36" s="79"/>
      <c r="I36" s="41">
        <f t="shared" si="3"/>
        <v>19523.510000000002</v>
      </c>
      <c r="J36" s="11">
        <f>2770.2+3310.42</f>
        <v>6080.62</v>
      </c>
      <c r="K36" s="11">
        <v>713.08</v>
      </c>
      <c r="L36" s="4">
        <f t="shared" si="7"/>
        <v>2597.3300000000036</v>
      </c>
      <c r="M36" s="4">
        <f t="shared" si="1"/>
        <v>9391.0300000000025</v>
      </c>
      <c r="N36" s="53">
        <f>SUM(I36-M36)+G36</f>
        <v>10132.48</v>
      </c>
      <c r="O36" s="60"/>
      <c r="P36" s="61">
        <v>10132.48</v>
      </c>
    </row>
    <row r="37" spans="1:16" x14ac:dyDescent="0.25">
      <c r="A37" s="50" t="s">
        <v>25</v>
      </c>
      <c r="B37" s="44">
        <f>9185.09+2535.08</f>
        <v>11720.17</v>
      </c>
      <c r="C37" s="71">
        <v>1837.02</v>
      </c>
      <c r="D37" s="78"/>
      <c r="E37" s="78">
        <f>559.09+2795.46+771.55+1375.37</f>
        <v>5501.47</v>
      </c>
      <c r="F37" s="78"/>
      <c r="G37" s="78"/>
      <c r="H37" s="79"/>
      <c r="I37" s="41">
        <f t="shared" si="3"/>
        <v>19058.66</v>
      </c>
      <c r="J37" s="11">
        <f>2679.27+3204.99</f>
        <v>5884.26</v>
      </c>
      <c r="K37" s="11">
        <v>713.08</v>
      </c>
      <c r="L37" s="4">
        <f t="shared" si="7"/>
        <v>2053.1800000000003</v>
      </c>
      <c r="M37" s="4">
        <f t="shared" si="1"/>
        <v>8650.52</v>
      </c>
      <c r="N37" s="53">
        <f t="shared" si="2"/>
        <v>10408.14</v>
      </c>
      <c r="O37" s="60"/>
      <c r="P37" s="61">
        <v>10408.14</v>
      </c>
    </row>
    <row r="38" spans="1:16" x14ac:dyDescent="0.25">
      <c r="A38" s="50" t="s">
        <v>75</v>
      </c>
      <c r="B38" s="44">
        <f>4927.52+591.3</f>
        <v>5518.8200000000006</v>
      </c>
      <c r="C38" s="71">
        <v>985.5</v>
      </c>
      <c r="D38" s="78"/>
      <c r="E38" s="78"/>
      <c r="F38" s="78"/>
      <c r="G38" s="78"/>
      <c r="H38" s="79"/>
      <c r="I38" s="41">
        <f t="shared" si="3"/>
        <v>6504.3200000000006</v>
      </c>
      <c r="J38" s="11">
        <v>723.23</v>
      </c>
      <c r="K38" s="11">
        <v>713.08</v>
      </c>
      <c r="L38" s="4">
        <f t="shared" si="7"/>
        <v>192.73999999999978</v>
      </c>
      <c r="M38" s="4">
        <f t="shared" si="1"/>
        <v>1629.0499999999997</v>
      </c>
      <c r="N38" s="53">
        <f t="shared" si="2"/>
        <v>4875.2700000000004</v>
      </c>
      <c r="O38" s="60"/>
      <c r="P38" s="61">
        <v>4875.2700000000004</v>
      </c>
    </row>
    <row r="39" spans="1:16" x14ac:dyDescent="0.25">
      <c r="A39" s="50" t="s">
        <v>26</v>
      </c>
      <c r="B39" s="44">
        <f>4657.65+335.35</f>
        <v>4993</v>
      </c>
      <c r="C39" s="71">
        <v>931.53</v>
      </c>
      <c r="D39" s="78"/>
      <c r="E39" s="78"/>
      <c r="F39" s="78"/>
      <c r="G39" s="78"/>
      <c r="H39" s="79"/>
      <c r="I39" s="41">
        <f t="shared" si="3"/>
        <v>5924.53</v>
      </c>
      <c r="J39" s="11">
        <v>466.31</v>
      </c>
      <c r="K39" s="11">
        <v>688.37</v>
      </c>
      <c r="L39" s="4">
        <f t="shared" si="7"/>
        <v>1409.1499999999996</v>
      </c>
      <c r="M39" s="4">
        <f t="shared" si="1"/>
        <v>2563.83</v>
      </c>
      <c r="N39" s="53">
        <f>SUM(I39-M39)+G39</f>
        <v>3360.7</v>
      </c>
      <c r="O39" s="60"/>
      <c r="P39" s="61">
        <v>3360.7</v>
      </c>
    </row>
    <row r="40" spans="1:16" x14ac:dyDescent="0.25">
      <c r="A40" s="50" t="s">
        <v>71</v>
      </c>
      <c r="B40" s="44">
        <v>1862.88</v>
      </c>
      <c r="C40" s="71"/>
      <c r="D40" s="78"/>
      <c r="E40" s="78"/>
      <c r="F40" s="78"/>
      <c r="G40" s="78"/>
      <c r="H40" s="79"/>
      <c r="I40" s="41">
        <f t="shared" si="3"/>
        <v>1862.88</v>
      </c>
      <c r="J40" s="11"/>
      <c r="K40" s="11">
        <v>151.97</v>
      </c>
      <c r="L40" s="4">
        <f t="shared" ref="L40" si="10">I40-J40-K40-P40</f>
        <v>15.410000000000082</v>
      </c>
      <c r="M40" s="4">
        <f t="shared" ref="M40" si="11">SUM(J40:L40)</f>
        <v>167.38000000000008</v>
      </c>
      <c r="N40" s="53">
        <f t="shared" ref="N40" si="12">SUM(I40-M40)</f>
        <v>1695.5</v>
      </c>
      <c r="O40" s="60"/>
      <c r="P40" s="61">
        <v>1695.5</v>
      </c>
    </row>
    <row r="41" spans="1:16" x14ac:dyDescent="0.25">
      <c r="A41" s="50" t="s">
        <v>27</v>
      </c>
      <c r="B41" s="44">
        <v>3015.51</v>
      </c>
      <c r="C41" s="71"/>
      <c r="D41" s="78"/>
      <c r="E41" s="78"/>
      <c r="F41" s="78"/>
      <c r="G41" s="78"/>
      <c r="H41" s="79"/>
      <c r="I41" s="41">
        <f t="shared" si="3"/>
        <v>3015.51</v>
      </c>
      <c r="J41" s="11">
        <v>62.1</v>
      </c>
      <c r="K41" s="11">
        <v>283.49</v>
      </c>
      <c r="L41" s="4">
        <f t="shared" si="7"/>
        <v>826.11000000000013</v>
      </c>
      <c r="M41" s="4">
        <f t="shared" si="1"/>
        <v>1171.7000000000003</v>
      </c>
      <c r="N41" s="53">
        <f t="shared" si="2"/>
        <v>1843.81</v>
      </c>
      <c r="O41" s="60"/>
      <c r="P41" s="61">
        <v>1843.81</v>
      </c>
    </row>
    <row r="42" spans="1:16" ht="15.75" thickBot="1" x14ac:dyDescent="0.3">
      <c r="A42" s="50" t="s">
        <v>28</v>
      </c>
      <c r="B42" s="46">
        <f>9185.09+2755.53</f>
        <v>11940.62</v>
      </c>
      <c r="C42" s="73">
        <v>1837.02</v>
      </c>
      <c r="D42" s="78"/>
      <c r="E42" s="78">
        <f>559.09+2795.46+838.64+1397.73</f>
        <v>5590.92</v>
      </c>
      <c r="F42" s="78"/>
      <c r="G42" s="78"/>
      <c r="H42" s="79"/>
      <c r="I42" s="42">
        <f>SUM(B42:H42)</f>
        <v>19368.560000000001</v>
      </c>
      <c r="J42" s="11">
        <f>2687.75+3223.14</f>
        <v>5910.8899999999994</v>
      </c>
      <c r="K42" s="11">
        <v>713.08</v>
      </c>
      <c r="L42" s="4">
        <f t="shared" si="7"/>
        <v>2181.4800000000014</v>
      </c>
      <c r="M42" s="4">
        <f t="shared" si="1"/>
        <v>8805.4500000000007</v>
      </c>
      <c r="N42" s="54">
        <f t="shared" si="2"/>
        <v>10563.11</v>
      </c>
      <c r="O42" s="60"/>
      <c r="P42" s="61">
        <v>10563.11</v>
      </c>
    </row>
    <row r="43" spans="1:16" x14ac:dyDescent="0.25">
      <c r="A43" s="85" t="s">
        <v>58</v>
      </c>
      <c r="B43" s="87" t="s">
        <v>48</v>
      </c>
      <c r="C43" s="91" t="s">
        <v>87</v>
      </c>
      <c r="D43" s="89" t="s">
        <v>49</v>
      </c>
      <c r="E43" s="89" t="s">
        <v>88</v>
      </c>
      <c r="F43" s="66" t="s">
        <v>89</v>
      </c>
      <c r="G43" s="68" t="s">
        <v>91</v>
      </c>
      <c r="H43" s="36" t="s">
        <v>63</v>
      </c>
      <c r="I43" s="56" t="s">
        <v>50</v>
      </c>
      <c r="J43" s="108" t="s">
        <v>52</v>
      </c>
      <c r="K43" s="108" t="s">
        <v>53</v>
      </c>
      <c r="L43" s="36" t="s">
        <v>54</v>
      </c>
      <c r="M43" s="36" t="s">
        <v>56</v>
      </c>
      <c r="N43" s="58" t="s">
        <v>50</v>
      </c>
      <c r="O43" s="63"/>
      <c r="P43" s="63"/>
    </row>
    <row r="44" spans="1:16" ht="15.75" thickBot="1" x14ac:dyDescent="0.3">
      <c r="A44" s="86"/>
      <c r="B44" s="88"/>
      <c r="C44" s="92"/>
      <c r="D44" s="90"/>
      <c r="E44" s="90"/>
      <c r="F44" s="67" t="s">
        <v>90</v>
      </c>
      <c r="G44" s="69" t="s">
        <v>67</v>
      </c>
      <c r="H44" s="37" t="s">
        <v>64</v>
      </c>
      <c r="I44" s="57" t="s">
        <v>51</v>
      </c>
      <c r="J44" s="109"/>
      <c r="K44" s="109"/>
      <c r="L44" s="37" t="s">
        <v>55</v>
      </c>
      <c r="M44" s="37" t="s">
        <v>55</v>
      </c>
      <c r="N44" s="59" t="s">
        <v>57</v>
      </c>
      <c r="O44" s="63"/>
      <c r="P44" s="63"/>
    </row>
    <row r="45" spans="1:16" x14ac:dyDescent="0.25">
      <c r="A45" s="50" t="s">
        <v>29</v>
      </c>
      <c r="B45" s="48">
        <f>1429.24+142.92</f>
        <v>1572.16</v>
      </c>
      <c r="C45" s="74"/>
      <c r="D45" s="78"/>
      <c r="E45" s="78">
        <f>434.99+43.5+159.5</f>
        <v>637.99</v>
      </c>
      <c r="F45" s="78"/>
      <c r="G45" s="78"/>
      <c r="H45" s="79"/>
      <c r="I45" s="47">
        <f>SUM(B45:H45)</f>
        <v>2210.15</v>
      </c>
      <c r="J45" s="11"/>
      <c r="K45" s="11">
        <f>136.74+50.1</f>
        <v>186.84</v>
      </c>
      <c r="L45" s="4">
        <f t="shared" ref="L45:L66" si="13">I45-J45-K45-P45</f>
        <v>1163.3600000000001</v>
      </c>
      <c r="M45" s="4">
        <f t="shared" si="1"/>
        <v>1350.2</v>
      </c>
      <c r="N45" s="55">
        <f t="shared" si="2"/>
        <v>859.95</v>
      </c>
      <c r="O45" s="60"/>
      <c r="P45" s="61">
        <v>859.95</v>
      </c>
    </row>
    <row r="46" spans="1:16" x14ac:dyDescent="0.25">
      <c r="A46" s="50" t="s">
        <v>30</v>
      </c>
      <c r="B46" s="44">
        <f>2444.34+488.87</f>
        <v>2933.21</v>
      </c>
      <c r="C46" s="71"/>
      <c r="D46" s="78"/>
      <c r="E46" s="78">
        <f>1014.01+6.66+202.8+405.6+53.72</f>
        <v>1682.7900000000002</v>
      </c>
      <c r="F46" s="78"/>
      <c r="G46" s="78"/>
      <c r="H46" s="80"/>
      <c r="I46" s="41">
        <f>SUM(B46:H46)</f>
        <v>4616</v>
      </c>
      <c r="J46" s="11">
        <v>55.15</v>
      </c>
      <c r="K46" s="11">
        <f>347.64+157.54</f>
        <v>505.17999999999995</v>
      </c>
      <c r="L46" s="4">
        <f t="shared" si="13"/>
        <v>1908.7000000000007</v>
      </c>
      <c r="M46" s="4">
        <f t="shared" si="1"/>
        <v>2469.0300000000007</v>
      </c>
      <c r="N46" s="53">
        <f t="shared" si="2"/>
        <v>2146.9699999999993</v>
      </c>
      <c r="O46" s="60"/>
      <c r="P46" s="61">
        <v>2146.9699999999998</v>
      </c>
    </row>
    <row r="47" spans="1:16" x14ac:dyDescent="0.25">
      <c r="A47" s="50" t="s">
        <v>31</v>
      </c>
      <c r="B47" s="44">
        <f>4715.12+612.97</f>
        <v>5328.09</v>
      </c>
      <c r="C47" s="71"/>
      <c r="D47" s="78"/>
      <c r="E47" s="78">
        <f>3143.41+408.64+1184.02</f>
        <v>4736.07</v>
      </c>
      <c r="F47" s="78"/>
      <c r="G47" s="78"/>
      <c r="H47" s="80">
        <v>2625.63</v>
      </c>
      <c r="I47" s="41">
        <f t="shared" ref="I47:I65" si="14">SUM(B47:H47)</f>
        <v>12689.79</v>
      </c>
      <c r="J47" s="11">
        <v>3597.05</v>
      </c>
      <c r="K47" s="11">
        <v>713.08</v>
      </c>
      <c r="L47" s="4">
        <f t="shared" si="13"/>
        <v>2409.2400000000016</v>
      </c>
      <c r="M47" s="4">
        <f t="shared" si="1"/>
        <v>6719.3700000000017</v>
      </c>
      <c r="N47" s="53">
        <f t="shared" si="2"/>
        <v>5970.4199999999992</v>
      </c>
      <c r="O47" s="60"/>
      <c r="P47" s="61">
        <v>5970.42</v>
      </c>
    </row>
    <row r="48" spans="1:16" x14ac:dyDescent="0.25">
      <c r="A48" s="50" t="s">
        <v>32</v>
      </c>
      <c r="B48" s="44">
        <f>5288.3+1702.83</f>
        <v>6991.13</v>
      </c>
      <c r="C48" s="71">
        <v>2115.3200000000002</v>
      </c>
      <c r="D48" s="78"/>
      <c r="E48" s="78"/>
      <c r="F48" s="78"/>
      <c r="G48" s="78"/>
      <c r="H48" s="80"/>
      <c r="I48" s="41">
        <f t="shared" si="14"/>
        <v>9106.4500000000007</v>
      </c>
      <c r="J48" s="11">
        <v>1334.54</v>
      </c>
      <c r="K48" s="11">
        <f>550.64+162.44</f>
        <v>713.07999999999993</v>
      </c>
      <c r="L48" s="4">
        <f>I48-J48-K48-P48</f>
        <v>834.47000000000116</v>
      </c>
      <c r="M48" s="4">
        <f>SUM(J48:L48)</f>
        <v>2882.0900000000011</v>
      </c>
      <c r="N48" s="53">
        <f t="shared" si="2"/>
        <v>6224.36</v>
      </c>
      <c r="O48" s="60"/>
      <c r="P48" s="61">
        <v>6224.36</v>
      </c>
    </row>
    <row r="49" spans="1:16" x14ac:dyDescent="0.25">
      <c r="A49" s="50" t="s">
        <v>33</v>
      </c>
      <c r="B49" s="44">
        <f>4927.52+768.69</f>
        <v>5696.2100000000009</v>
      </c>
      <c r="C49" s="71">
        <v>985.5</v>
      </c>
      <c r="D49" s="78"/>
      <c r="E49" s="78"/>
      <c r="F49" s="78"/>
      <c r="G49" s="78"/>
      <c r="H49" s="80"/>
      <c r="I49" s="41">
        <f t="shared" si="14"/>
        <v>6681.7100000000009</v>
      </c>
      <c r="J49" s="11">
        <v>667.74</v>
      </c>
      <c r="K49" s="11">
        <f>599.41+113.67</f>
        <v>713.07999999999993</v>
      </c>
      <c r="L49" s="4">
        <f t="shared" si="13"/>
        <v>421.27000000000135</v>
      </c>
      <c r="M49" s="4">
        <f t="shared" si="1"/>
        <v>1802.0900000000013</v>
      </c>
      <c r="N49" s="53">
        <f t="shared" si="2"/>
        <v>4879.62</v>
      </c>
      <c r="O49" s="60"/>
      <c r="P49" s="61">
        <v>4879.62</v>
      </c>
    </row>
    <row r="50" spans="1:16" x14ac:dyDescent="0.25">
      <c r="A50" s="50" t="s">
        <v>34</v>
      </c>
      <c r="B50" s="44">
        <v>6876.86</v>
      </c>
      <c r="C50" s="71"/>
      <c r="D50" s="78"/>
      <c r="E50" s="78"/>
      <c r="F50" s="78"/>
      <c r="G50" s="78"/>
      <c r="H50" s="80"/>
      <c r="I50" s="41">
        <f t="shared" si="14"/>
        <v>6876.86</v>
      </c>
      <c r="J50" s="11">
        <v>773.54</v>
      </c>
      <c r="K50" s="11">
        <v>713.08</v>
      </c>
      <c r="L50" s="4">
        <f t="shared" si="13"/>
        <v>785.63000000000011</v>
      </c>
      <c r="M50" s="4">
        <f t="shared" si="1"/>
        <v>2272.25</v>
      </c>
      <c r="N50" s="53">
        <f>SUM(I50-M50)+G50</f>
        <v>4604.6099999999997</v>
      </c>
      <c r="O50" s="60"/>
      <c r="P50" s="61">
        <v>4604.6099999999997</v>
      </c>
    </row>
    <row r="51" spans="1:16" x14ac:dyDescent="0.25">
      <c r="A51" s="50" t="s">
        <v>35</v>
      </c>
      <c r="B51" s="44">
        <f>4927.52+591.3</f>
        <v>5518.8200000000006</v>
      </c>
      <c r="C51" s="71">
        <v>985.5</v>
      </c>
      <c r="D51" s="78"/>
      <c r="E51" s="78"/>
      <c r="F51" s="78"/>
      <c r="G51" s="78"/>
      <c r="H51" s="80"/>
      <c r="I51" s="41">
        <f t="shared" si="14"/>
        <v>6504.3200000000006</v>
      </c>
      <c r="J51" s="11">
        <v>671.09</v>
      </c>
      <c r="K51" s="11">
        <v>713.08</v>
      </c>
      <c r="L51" s="4">
        <f t="shared" si="13"/>
        <v>1315.4100000000008</v>
      </c>
      <c r="M51" s="4">
        <f t="shared" si="1"/>
        <v>2699.5800000000008</v>
      </c>
      <c r="N51" s="53">
        <f>SUM(I51-M51)+G51</f>
        <v>3804.74</v>
      </c>
      <c r="O51" s="60"/>
      <c r="P51" s="61">
        <v>3804.74</v>
      </c>
    </row>
    <row r="52" spans="1:16" x14ac:dyDescent="0.25">
      <c r="A52" s="50" t="s">
        <v>36</v>
      </c>
      <c r="B52" s="44">
        <v>4183.3999999999996</v>
      </c>
      <c r="C52" s="71"/>
      <c r="D52" s="78"/>
      <c r="E52" s="78"/>
      <c r="F52" s="78"/>
      <c r="G52" s="78"/>
      <c r="H52" s="80"/>
      <c r="I52" s="41">
        <f t="shared" si="14"/>
        <v>4183.3999999999996</v>
      </c>
      <c r="J52" s="11">
        <v>149.13999999999999</v>
      </c>
      <c r="K52" s="11">
        <v>444.61</v>
      </c>
      <c r="L52" s="4">
        <f t="shared" si="13"/>
        <v>869.34999999999945</v>
      </c>
      <c r="M52" s="4">
        <f t="shared" si="1"/>
        <v>1463.0999999999995</v>
      </c>
      <c r="N52" s="53">
        <f t="shared" si="2"/>
        <v>2720.3</v>
      </c>
      <c r="O52" s="60"/>
      <c r="P52" s="61">
        <v>2720.3</v>
      </c>
    </row>
    <row r="53" spans="1:16" x14ac:dyDescent="0.25">
      <c r="A53" s="50" t="s">
        <v>85</v>
      </c>
      <c r="B53" s="44">
        <v>2433.34</v>
      </c>
      <c r="C53" s="71"/>
      <c r="D53" s="78"/>
      <c r="E53" s="78"/>
      <c r="F53" s="78"/>
      <c r="G53" s="78"/>
      <c r="H53" s="80"/>
      <c r="I53" s="41">
        <f t="shared" si="14"/>
        <v>2433.34</v>
      </c>
      <c r="J53" s="11">
        <v>23.68</v>
      </c>
      <c r="K53" s="11">
        <v>213.63</v>
      </c>
      <c r="L53" s="4">
        <f t="shared" si="13"/>
        <v>6.2800000000002001</v>
      </c>
      <c r="M53" s="4">
        <f t="shared" si="1"/>
        <v>243.5900000000002</v>
      </c>
      <c r="N53" s="53">
        <f t="shared" si="2"/>
        <v>2189.75</v>
      </c>
      <c r="O53" s="60"/>
      <c r="P53" s="61">
        <v>2189.75</v>
      </c>
    </row>
    <row r="54" spans="1:16" x14ac:dyDescent="0.25">
      <c r="A54" s="50" t="s">
        <v>38</v>
      </c>
      <c r="B54" s="44">
        <f>4151.5+3155.14</f>
        <v>7306.6399999999994</v>
      </c>
      <c r="C54" s="71">
        <v>4151.5</v>
      </c>
      <c r="D54" s="78"/>
      <c r="E54" s="78">
        <f>8303.01+8303.01+6310.29+7638.76</f>
        <v>30555.07</v>
      </c>
      <c r="F54" s="78">
        <f>3321.2+3321.2+2524.11+3055.5</f>
        <v>12222.01</v>
      </c>
      <c r="G54" s="78">
        <f>6227.26+4732.72+6227.26</f>
        <v>17187.239999999998</v>
      </c>
      <c r="H54" s="80"/>
      <c r="I54" s="41">
        <f t="shared" si="14"/>
        <v>71422.459999999992</v>
      </c>
      <c r="J54" s="11">
        <f>2281.63+7337.19</f>
        <v>9618.82</v>
      </c>
      <c r="K54" s="11">
        <v>713.08</v>
      </c>
      <c r="L54" s="4">
        <f t="shared" si="13"/>
        <v>52206.319999999992</v>
      </c>
      <c r="M54" s="4">
        <f t="shared" si="1"/>
        <v>62538.219999999994</v>
      </c>
      <c r="N54" s="53">
        <f t="shared" si="2"/>
        <v>8884.239999999998</v>
      </c>
      <c r="O54" s="60"/>
      <c r="P54" s="61">
        <v>8884.24</v>
      </c>
    </row>
    <row r="55" spans="1:16" x14ac:dyDescent="0.25">
      <c r="A55" s="50" t="s">
        <v>39</v>
      </c>
      <c r="B55" s="44">
        <f>4927.52+650.43</f>
        <v>5577.9500000000007</v>
      </c>
      <c r="C55" s="71">
        <v>985.5</v>
      </c>
      <c r="D55" s="78"/>
      <c r="E55" s="78"/>
      <c r="F55" s="78"/>
      <c r="G55" s="78"/>
      <c r="H55" s="80"/>
      <c r="I55" s="41">
        <f t="shared" si="14"/>
        <v>6563.4500000000007</v>
      </c>
      <c r="J55" s="11">
        <v>687.35</v>
      </c>
      <c r="K55" s="11">
        <v>713.08</v>
      </c>
      <c r="L55" s="4">
        <f t="shared" si="13"/>
        <v>200.10000000000036</v>
      </c>
      <c r="M55" s="4">
        <f t="shared" si="1"/>
        <v>1600.5300000000004</v>
      </c>
      <c r="N55" s="53">
        <f t="shared" si="2"/>
        <v>4962.92</v>
      </c>
      <c r="O55" s="60"/>
      <c r="P55" s="61">
        <v>4962.92</v>
      </c>
    </row>
    <row r="56" spans="1:16" x14ac:dyDescent="0.25">
      <c r="A56" s="50" t="s">
        <v>40</v>
      </c>
      <c r="B56" s="44">
        <v>5464.66</v>
      </c>
      <c r="C56" s="71"/>
      <c r="D56" s="78"/>
      <c r="E56" s="78"/>
      <c r="F56" s="78"/>
      <c r="G56" s="78"/>
      <c r="H56" s="80"/>
      <c r="I56" s="41">
        <f t="shared" si="14"/>
        <v>5464.66</v>
      </c>
      <c r="J56" s="11">
        <v>410.36</v>
      </c>
      <c r="K56" s="11">
        <v>623.99</v>
      </c>
      <c r="L56" s="4">
        <f t="shared" si="13"/>
        <v>748.5600000000004</v>
      </c>
      <c r="M56" s="4">
        <f t="shared" si="1"/>
        <v>1782.9100000000003</v>
      </c>
      <c r="N56" s="53">
        <f t="shared" si="2"/>
        <v>3681.7499999999995</v>
      </c>
      <c r="O56" s="60"/>
      <c r="P56" s="61">
        <v>3681.75</v>
      </c>
    </row>
    <row r="57" spans="1:16" x14ac:dyDescent="0.25">
      <c r="A57" s="50" t="s">
        <v>70</v>
      </c>
      <c r="B57" s="44">
        <f>1400.2+28</f>
        <v>1428.2</v>
      </c>
      <c r="C57" s="71"/>
      <c r="D57" s="78"/>
      <c r="E57" s="78">
        <f>426.15+8.52+144.89</f>
        <v>579.55999999999995</v>
      </c>
      <c r="F57" s="78"/>
      <c r="G57" s="78"/>
      <c r="H57" s="80"/>
      <c r="I57" s="41">
        <f t="shared" si="14"/>
        <v>2007.76</v>
      </c>
      <c r="J57" s="11"/>
      <c r="K57" s="11">
        <f>118.34+46.67</f>
        <v>165.01</v>
      </c>
      <c r="L57" s="4">
        <f t="shared" ref="L57" si="15">I57-J57-K57-P57</f>
        <v>539.17000000000007</v>
      </c>
      <c r="M57" s="4">
        <f t="shared" ref="M57" si="16">SUM(J57:L57)</f>
        <v>704.18000000000006</v>
      </c>
      <c r="N57" s="53">
        <f t="shared" ref="N57" si="17">SUM(I57-M57)</f>
        <v>1303.58</v>
      </c>
      <c r="O57" s="60"/>
      <c r="P57" s="61">
        <v>1303.58</v>
      </c>
    </row>
    <row r="58" spans="1:16" x14ac:dyDescent="0.25">
      <c r="A58" s="50" t="s">
        <v>41</v>
      </c>
      <c r="B58" s="44">
        <f>9185.09+2975.97</f>
        <v>12161.06</v>
      </c>
      <c r="C58" s="71">
        <v>1837.02</v>
      </c>
      <c r="D58" s="78"/>
      <c r="E58" s="78">
        <f>559.09+2795.46+905.73+1420.09</f>
        <v>5680.3700000000008</v>
      </c>
      <c r="F58" s="78"/>
      <c r="G58" s="78"/>
      <c r="H58" s="80"/>
      <c r="I58" s="41">
        <f t="shared" si="14"/>
        <v>19678.45</v>
      </c>
      <c r="J58" s="11">
        <f>2852.65+3397.7</f>
        <v>6250.35</v>
      </c>
      <c r="K58" s="11">
        <v>713.08</v>
      </c>
      <c r="L58" s="4">
        <f t="shared" si="13"/>
        <v>2039.3700000000008</v>
      </c>
      <c r="M58" s="4">
        <f t="shared" si="1"/>
        <v>9002.8000000000011</v>
      </c>
      <c r="N58" s="53">
        <f>SUM(I58-M58)+G58</f>
        <v>10675.65</v>
      </c>
      <c r="O58" s="60"/>
      <c r="P58" s="61">
        <v>10675.65</v>
      </c>
    </row>
    <row r="59" spans="1:16" x14ac:dyDescent="0.25">
      <c r="A59" s="50" t="s">
        <v>42</v>
      </c>
      <c r="B59" s="44">
        <f>1452.68+188.85</f>
        <v>1641.53</v>
      </c>
      <c r="C59" s="71"/>
      <c r="D59" s="78"/>
      <c r="E59" s="78">
        <f>442.12+57.47+166.53</f>
        <v>666.12</v>
      </c>
      <c r="F59" s="78"/>
      <c r="G59" s="78"/>
      <c r="H59" s="80"/>
      <c r="I59" s="41">
        <f t="shared" si="14"/>
        <v>2307.65</v>
      </c>
      <c r="J59" s="11"/>
      <c r="K59" s="11">
        <f>145.91+52.63</f>
        <v>198.54</v>
      </c>
      <c r="L59" s="4">
        <f t="shared" si="13"/>
        <v>649.20000000000005</v>
      </c>
      <c r="M59" s="4">
        <f t="shared" si="1"/>
        <v>847.74</v>
      </c>
      <c r="N59" s="53">
        <f t="shared" si="2"/>
        <v>1459.91</v>
      </c>
      <c r="O59" s="60"/>
      <c r="P59" s="61">
        <v>1459.91</v>
      </c>
    </row>
    <row r="60" spans="1:16" x14ac:dyDescent="0.25">
      <c r="A60" s="50" t="s">
        <v>43</v>
      </c>
      <c r="B60" s="44">
        <v>4155.38</v>
      </c>
      <c r="C60" s="71"/>
      <c r="D60" s="78"/>
      <c r="E60" s="78"/>
      <c r="F60" s="78"/>
      <c r="G60" s="78"/>
      <c r="H60" s="80"/>
      <c r="I60" s="41">
        <f t="shared" si="14"/>
        <v>4155.38</v>
      </c>
      <c r="J60" s="11">
        <v>202.4</v>
      </c>
      <c r="K60" s="11">
        <v>440.69</v>
      </c>
      <c r="L60" s="4">
        <f t="shared" si="13"/>
        <v>1017.9099999999999</v>
      </c>
      <c r="M60" s="4">
        <f t="shared" si="1"/>
        <v>1661</v>
      </c>
      <c r="N60" s="53">
        <f t="shared" si="2"/>
        <v>2494.38</v>
      </c>
      <c r="O60" s="60"/>
      <c r="P60" s="61">
        <v>2494.38</v>
      </c>
    </row>
    <row r="61" spans="1:16" x14ac:dyDescent="0.25">
      <c r="A61" s="50" t="s">
        <v>44</v>
      </c>
      <c r="B61" s="44">
        <f>10377.23+3860.33</f>
        <v>14237.56</v>
      </c>
      <c r="C61" s="71">
        <v>2075.4499999999998</v>
      </c>
      <c r="D61" s="78"/>
      <c r="E61" s="78"/>
      <c r="F61" s="78"/>
      <c r="G61" s="78"/>
      <c r="H61" s="80"/>
      <c r="I61" s="41">
        <f t="shared" si="14"/>
        <v>16313.009999999998</v>
      </c>
      <c r="J61" s="11">
        <v>3316.35</v>
      </c>
      <c r="K61" s="11">
        <v>713.08</v>
      </c>
      <c r="L61" s="4">
        <f t="shared" si="13"/>
        <v>1409.9799999999977</v>
      </c>
      <c r="M61" s="4">
        <f t="shared" si="1"/>
        <v>5439.409999999998</v>
      </c>
      <c r="N61" s="53">
        <f>SUM(I61-M61)+G61</f>
        <v>10873.6</v>
      </c>
      <c r="O61" s="60"/>
      <c r="P61" s="61">
        <v>10873.6</v>
      </c>
    </row>
    <row r="62" spans="1:16" x14ac:dyDescent="0.25">
      <c r="A62" s="50" t="s">
        <v>45</v>
      </c>
      <c r="B62" s="44">
        <v>4993.3999999999996</v>
      </c>
      <c r="C62" s="71"/>
      <c r="D62" s="78"/>
      <c r="E62" s="78"/>
      <c r="F62" s="78"/>
      <c r="G62" s="78"/>
      <c r="H62" s="80"/>
      <c r="I62" s="41">
        <f t="shared" si="14"/>
        <v>4993.3999999999996</v>
      </c>
      <c r="J62" s="11">
        <v>319.18</v>
      </c>
      <c r="K62" s="11">
        <v>558.01</v>
      </c>
      <c r="L62" s="4">
        <f t="shared" si="13"/>
        <v>1861.809999999999</v>
      </c>
      <c r="M62" s="4">
        <f t="shared" si="1"/>
        <v>2738.9999999999991</v>
      </c>
      <c r="N62" s="53">
        <f t="shared" si="2"/>
        <v>2254.4000000000005</v>
      </c>
      <c r="O62" s="60"/>
      <c r="P62" s="61">
        <v>2254.4</v>
      </c>
    </row>
    <row r="63" spans="1:16" x14ac:dyDescent="0.25">
      <c r="A63" s="50" t="s">
        <v>46</v>
      </c>
      <c r="B63" s="44">
        <f>1421.61+184.81</f>
        <v>1606.4199999999998</v>
      </c>
      <c r="C63" s="71"/>
      <c r="D63" s="78"/>
      <c r="E63" s="78">
        <f>344.02+44.72+129.58+17.15</f>
        <v>535.47</v>
      </c>
      <c r="F63" s="78"/>
      <c r="G63" s="78"/>
      <c r="H63" s="80"/>
      <c r="I63" s="41">
        <f t="shared" si="14"/>
        <v>2141.89</v>
      </c>
      <c r="J63" s="11"/>
      <c r="K63" s="11">
        <f>138.27+40.38</f>
        <v>178.65</v>
      </c>
      <c r="L63" s="4">
        <f t="shared" si="13"/>
        <v>545.06999999999971</v>
      </c>
      <c r="M63" s="4">
        <f t="shared" si="1"/>
        <v>723.71999999999969</v>
      </c>
      <c r="N63" s="53">
        <f t="shared" si="2"/>
        <v>1418.17</v>
      </c>
      <c r="O63" s="60"/>
      <c r="P63" s="61">
        <v>1418.17</v>
      </c>
    </row>
    <row r="64" spans="1:16" x14ac:dyDescent="0.25">
      <c r="A64" s="50" t="s">
        <v>86</v>
      </c>
      <c r="B64" s="44">
        <v>3993.39</v>
      </c>
      <c r="C64" s="71"/>
      <c r="D64" s="78"/>
      <c r="E64" s="78"/>
      <c r="F64" s="78"/>
      <c r="G64" s="78"/>
      <c r="H64" s="80"/>
      <c r="I64" s="41">
        <f t="shared" si="14"/>
        <v>3993.39</v>
      </c>
      <c r="J64" s="11">
        <v>181.51</v>
      </c>
      <c r="K64" s="11">
        <v>418.01</v>
      </c>
      <c r="L64" s="4">
        <f t="shared" ref="L64" si="18">I64-J64-K64-P64</f>
        <v>6.2799999999997453</v>
      </c>
      <c r="M64" s="4">
        <f t="shared" ref="M64" si="19">SUM(J64:L64)</f>
        <v>605.79999999999973</v>
      </c>
      <c r="N64" s="53">
        <f t="shared" ref="N64" si="20">SUM(I64-M64)</f>
        <v>3387.59</v>
      </c>
      <c r="O64" s="60"/>
      <c r="P64" s="61">
        <v>3387.59</v>
      </c>
    </row>
    <row r="65" spans="1:16" x14ac:dyDescent="0.25">
      <c r="A65" s="50" t="s">
        <v>84</v>
      </c>
      <c r="B65" s="44">
        <f>468.11+4.68</f>
        <v>472.79</v>
      </c>
      <c r="C65" s="71"/>
      <c r="D65" s="78"/>
      <c r="E65" s="78">
        <f>1287.31+12.87+433.39</f>
        <v>1733.5699999999997</v>
      </c>
      <c r="F65" s="78"/>
      <c r="G65" s="78"/>
      <c r="H65" s="80"/>
      <c r="I65" s="41">
        <f t="shared" si="14"/>
        <v>2206.3599999999997</v>
      </c>
      <c r="J65" s="11"/>
      <c r="K65" s="11">
        <f>35.84+150.55</f>
        <v>186.39000000000001</v>
      </c>
      <c r="L65" s="4">
        <f t="shared" ref="L65" si="21">I65-J65-K65-P65</f>
        <v>1609.2599999999995</v>
      </c>
      <c r="M65" s="4">
        <f t="shared" ref="M65" si="22">SUM(J65:L65)</f>
        <v>1795.6499999999996</v>
      </c>
      <c r="N65" s="53">
        <f t="shared" ref="N65" si="23">SUM(I65-M65)</f>
        <v>410.71000000000004</v>
      </c>
      <c r="O65" s="60"/>
      <c r="P65" s="61">
        <v>410.71</v>
      </c>
    </row>
    <row r="66" spans="1:16" ht="15.75" thickBot="1" x14ac:dyDescent="0.3">
      <c r="A66" s="51" t="s">
        <v>47</v>
      </c>
      <c r="B66" s="46">
        <f>8015.71+1058.07</f>
        <v>9073.7800000000007</v>
      </c>
      <c r="C66" s="75">
        <v>1603.14</v>
      </c>
      <c r="D66" s="81"/>
      <c r="E66" s="81"/>
      <c r="F66" s="81"/>
      <c r="G66" s="81"/>
      <c r="H66" s="82">
        <v>2625.62</v>
      </c>
      <c r="I66" s="42">
        <f>SUM(B66:H66)</f>
        <v>13302.54</v>
      </c>
      <c r="J66" s="38">
        <v>2540.6</v>
      </c>
      <c r="K66" s="38">
        <v>713.08</v>
      </c>
      <c r="L66" s="39">
        <f t="shared" si="13"/>
        <v>67.829999999999927</v>
      </c>
      <c r="M66" s="39">
        <f t="shared" si="1"/>
        <v>3321.5099999999998</v>
      </c>
      <c r="N66" s="54">
        <f t="shared" si="2"/>
        <v>9981.0300000000007</v>
      </c>
      <c r="O66" s="60"/>
      <c r="P66" s="61">
        <v>9981.0300000000007</v>
      </c>
    </row>
    <row r="67" spans="1:16" ht="15.75" thickBot="1" x14ac:dyDescent="0.3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</row>
    <row r="68" spans="1:16" x14ac:dyDescent="0.25">
      <c r="A68" s="105" t="s">
        <v>98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7"/>
    </row>
    <row r="69" spans="1:16" x14ac:dyDescent="0.25">
      <c r="A69" s="93" t="s">
        <v>96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5"/>
    </row>
    <row r="70" spans="1:16" ht="5.25" customHeight="1" x14ac:dyDescent="0.25">
      <c r="A70" s="96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8"/>
    </row>
    <row r="71" spans="1:16" x14ac:dyDescent="0.25">
      <c r="A71" s="99" t="s">
        <v>97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1"/>
    </row>
    <row r="72" spans="1:16" x14ac:dyDescent="0.25">
      <c r="A72" s="102" t="s">
        <v>92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4"/>
    </row>
    <row r="73" spans="1:16" x14ac:dyDescent="0.25">
      <c r="A73" s="102" t="s">
        <v>93</v>
      </c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4"/>
    </row>
    <row r="74" spans="1:16" x14ac:dyDescent="0.25">
      <c r="A74" s="102" t="s">
        <v>94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4"/>
    </row>
    <row r="75" spans="1:16" ht="15.75" thickBot="1" x14ac:dyDescent="0.3">
      <c r="A75" s="117" t="s">
        <v>95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9"/>
    </row>
    <row r="76" spans="1:16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6" x14ac:dyDescent="0.25">
      <c r="A77" s="25"/>
      <c r="B77" s="17"/>
      <c r="C77" s="65"/>
      <c r="D77" s="17"/>
      <c r="E77" s="65"/>
      <c r="F77" s="65"/>
      <c r="G77" s="17"/>
      <c r="H77" s="17"/>
      <c r="I77" s="17"/>
      <c r="J77" s="17"/>
      <c r="K77" s="17"/>
      <c r="L77" s="17"/>
      <c r="M77" s="17"/>
      <c r="N77" s="17"/>
    </row>
    <row r="78" spans="1:16" ht="15.75" thickBot="1" x14ac:dyDescent="0.3">
      <c r="A78" s="18"/>
      <c r="B78" s="17"/>
      <c r="C78" s="65"/>
      <c r="D78" s="17"/>
      <c r="E78" s="65"/>
      <c r="F78" s="65"/>
      <c r="G78" s="17"/>
      <c r="H78" s="17"/>
      <c r="I78" s="17"/>
      <c r="J78" s="17"/>
      <c r="K78" s="17"/>
      <c r="L78" s="17"/>
      <c r="M78" s="17"/>
      <c r="N78" s="17"/>
    </row>
    <row r="79" spans="1:16" ht="15.75" x14ac:dyDescent="0.25">
      <c r="A79" s="20"/>
      <c r="B79" s="20"/>
      <c r="C79" s="20"/>
      <c r="D79" s="20"/>
      <c r="E79" s="20"/>
      <c r="F79" s="20"/>
      <c r="G79" s="20"/>
      <c r="H79" s="20"/>
      <c r="I79" s="29" t="s">
        <v>76</v>
      </c>
      <c r="J79" s="30" t="s">
        <v>77</v>
      </c>
      <c r="K79" s="30" t="s">
        <v>53</v>
      </c>
      <c r="L79" s="111" t="s">
        <v>78</v>
      </c>
      <c r="M79" s="112"/>
    </row>
    <row r="80" spans="1:16" x14ac:dyDescent="0.25">
      <c r="A80" s="13"/>
      <c r="B80" s="13"/>
      <c r="C80" s="13"/>
      <c r="D80" s="13"/>
      <c r="E80" s="13"/>
      <c r="F80" s="13"/>
      <c r="G80" s="13"/>
      <c r="H80" s="13"/>
      <c r="I80" s="31">
        <f>SUM(I7:I42)</f>
        <v>357023.59000000014</v>
      </c>
      <c r="J80" s="32">
        <f>SUM(J7:J42)</f>
        <v>59925.57</v>
      </c>
      <c r="K80" s="32">
        <f>SUM(K7:K42)</f>
        <v>19253.590000000004</v>
      </c>
      <c r="L80" s="113">
        <f>SUM(N7:N42)</f>
        <v>198715.97000000003</v>
      </c>
      <c r="M80" s="114"/>
    </row>
    <row r="81" spans="1:14" x14ac:dyDescent="0.25">
      <c r="A81" s="13"/>
      <c r="B81" s="13"/>
      <c r="C81" s="13"/>
      <c r="D81" s="13"/>
      <c r="E81" s="13"/>
      <c r="F81" s="13"/>
      <c r="G81" s="13"/>
      <c r="H81" s="13"/>
      <c r="I81" s="31">
        <f>SUM(I45:I66)</f>
        <v>209852.42000000004</v>
      </c>
      <c r="J81" s="32">
        <f>SUM(J45:J66)</f>
        <v>30798.849999999995</v>
      </c>
      <c r="K81" s="32">
        <f>SUM(K45:K66)</f>
        <v>11250.349999999999</v>
      </c>
      <c r="L81" s="113">
        <f>SUM(N45:N66)</f>
        <v>95188.650000000009</v>
      </c>
      <c r="M81" s="114"/>
    </row>
    <row r="82" spans="1:14" ht="16.5" thickBot="1" x14ac:dyDescent="0.3">
      <c r="A82" s="13"/>
      <c r="B82" s="13"/>
      <c r="C82" s="13"/>
      <c r="D82" s="13"/>
      <c r="E82" s="13"/>
      <c r="F82" s="13"/>
      <c r="G82" s="7"/>
      <c r="H82" s="13"/>
      <c r="I82" s="33">
        <f>SUM(I80:I81)</f>
        <v>566876.01000000024</v>
      </c>
      <c r="J82" s="34">
        <f>SUM(J80:J81)</f>
        <v>90724.42</v>
      </c>
      <c r="K82" s="34">
        <f>SUM(K80:K81)</f>
        <v>30503.940000000002</v>
      </c>
      <c r="L82" s="115">
        <f>SUM(L80:L81)</f>
        <v>293904.62000000005</v>
      </c>
      <c r="M82" s="116"/>
    </row>
    <row r="83" spans="1:14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</sheetData>
  <mergeCells count="30">
    <mergeCell ref="L79:M79"/>
    <mergeCell ref="L80:M80"/>
    <mergeCell ref="L81:M81"/>
    <mergeCell ref="L82:M82"/>
    <mergeCell ref="A75:N75"/>
    <mergeCell ref="A68:N68"/>
    <mergeCell ref="A43:A44"/>
    <mergeCell ref="B43:B44"/>
    <mergeCell ref="J43:J44"/>
    <mergeCell ref="K43:K44"/>
    <mergeCell ref="D43:D44"/>
    <mergeCell ref="A67:N67"/>
    <mergeCell ref="C43:C44"/>
    <mergeCell ref="E43:E44"/>
    <mergeCell ref="A69:N69"/>
    <mergeCell ref="A70:N70"/>
    <mergeCell ref="A71:N71"/>
    <mergeCell ref="A72:N72"/>
    <mergeCell ref="A74:N74"/>
    <mergeCell ref="A73:N73"/>
    <mergeCell ref="A1:N1"/>
    <mergeCell ref="A2:N2"/>
    <mergeCell ref="A3:N3"/>
    <mergeCell ref="A5:A6"/>
    <mergeCell ref="B5:B6"/>
    <mergeCell ref="J5:J6"/>
    <mergeCell ref="K5:K6"/>
    <mergeCell ref="D5:D6"/>
    <mergeCell ref="C5:C6"/>
    <mergeCell ref="E5:E6"/>
  </mergeCells>
  <pageMargins left="0.25" right="0.25" top="0.75" bottom="0.75" header="0.3" footer="0.3"/>
  <pageSetup paperSize="9" scale="62" orientation="landscape" r:id="rId1"/>
  <rowBreaks count="1" manualBreakCount="1">
    <brk id="4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C082-6D77-4281-A0E2-257EB95D9B43}">
  <dimension ref="A1:L8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6" sqref="B16"/>
    </sheetView>
  </sheetViews>
  <sheetFormatPr defaultRowHeight="15" x14ac:dyDescent="0.25"/>
  <cols>
    <col min="1" max="1" width="48.5703125" customWidth="1"/>
    <col min="2" max="2" width="14.7109375" customWidth="1"/>
    <col min="3" max="3" width="13.5703125" customWidth="1"/>
    <col min="4" max="4" width="14.140625" customWidth="1"/>
    <col min="5" max="5" width="11.5703125" customWidth="1"/>
    <col min="6" max="6" width="10.7109375" customWidth="1"/>
    <col min="7" max="8" width="10.42578125" customWidth="1"/>
    <col min="9" max="9" width="16.42578125" customWidth="1"/>
    <col min="10" max="10" width="3.7109375" customWidth="1"/>
    <col min="11" max="11" width="14.28515625" bestFit="1" customWidth="1"/>
  </cols>
  <sheetData>
    <row r="1" spans="1:12" x14ac:dyDescent="0.25">
      <c r="A1" s="132" t="s">
        <v>59</v>
      </c>
      <c r="B1" s="132"/>
      <c r="C1" s="132"/>
      <c r="D1" s="132"/>
      <c r="E1" s="132"/>
      <c r="F1" s="132"/>
      <c r="G1" s="132"/>
      <c r="H1" s="132"/>
      <c r="I1" s="132"/>
    </row>
    <row r="2" spans="1:12" x14ac:dyDescent="0.25">
      <c r="A2" s="132" t="s">
        <v>60</v>
      </c>
      <c r="B2" s="132"/>
      <c r="C2" s="132"/>
      <c r="D2" s="132"/>
      <c r="E2" s="132"/>
      <c r="F2" s="132"/>
      <c r="G2" s="132"/>
      <c r="H2" s="132"/>
      <c r="I2" s="132"/>
    </row>
    <row r="3" spans="1:12" ht="4.5" customHeight="1" x14ac:dyDescent="0.25">
      <c r="A3" s="133"/>
      <c r="B3" s="133"/>
      <c r="C3" s="133"/>
      <c r="D3" s="133"/>
      <c r="E3" s="133"/>
      <c r="F3" s="133"/>
      <c r="G3" s="133"/>
      <c r="H3" s="133"/>
      <c r="I3" s="133"/>
    </row>
    <row r="4" spans="1:12" ht="16.5" thickBot="1" x14ac:dyDescent="0.3">
      <c r="A4" s="22" t="s">
        <v>81</v>
      </c>
      <c r="B4" s="21"/>
      <c r="C4" s="21"/>
      <c r="D4" s="21"/>
      <c r="E4" s="21"/>
      <c r="F4" s="21"/>
      <c r="G4" s="21"/>
      <c r="H4" s="21"/>
      <c r="I4" s="21"/>
    </row>
    <row r="5" spans="1:12" x14ac:dyDescent="0.25">
      <c r="A5" s="126" t="s">
        <v>58</v>
      </c>
      <c r="B5" s="128" t="s">
        <v>48</v>
      </c>
      <c r="C5" s="128" t="s">
        <v>80</v>
      </c>
      <c r="D5" s="5" t="s">
        <v>50</v>
      </c>
      <c r="E5" s="128" t="s">
        <v>52</v>
      </c>
      <c r="F5" s="128" t="s">
        <v>53</v>
      </c>
      <c r="G5" s="5" t="s">
        <v>54</v>
      </c>
      <c r="H5" s="5" t="s">
        <v>56</v>
      </c>
      <c r="I5" s="5" t="s">
        <v>50</v>
      </c>
    </row>
    <row r="6" spans="1:12" ht="15.75" thickBot="1" x14ac:dyDescent="0.3">
      <c r="A6" s="127"/>
      <c r="B6" s="129"/>
      <c r="C6" s="129"/>
      <c r="D6" s="6" t="s">
        <v>51</v>
      </c>
      <c r="E6" s="129"/>
      <c r="F6" s="129"/>
      <c r="G6" s="6" t="s">
        <v>55</v>
      </c>
      <c r="H6" s="6" t="s">
        <v>55</v>
      </c>
      <c r="I6" s="6" t="s">
        <v>57</v>
      </c>
    </row>
    <row r="7" spans="1:12" x14ac:dyDescent="0.25">
      <c r="A7" t="s">
        <v>0</v>
      </c>
      <c r="B7" s="7">
        <v>17790.560000000001</v>
      </c>
      <c r="C7" s="7"/>
      <c r="D7" s="3">
        <f t="shared" ref="D7:D41" si="0">SUM(B7:C7)</f>
        <v>17790.560000000001</v>
      </c>
      <c r="E7" s="10">
        <v>3800.12</v>
      </c>
      <c r="F7" s="10">
        <v>621.03</v>
      </c>
      <c r="G7" s="4">
        <f t="shared" ref="G7:G12" si="1">D7-E7-F7-K7</f>
        <v>8586.9100000000017</v>
      </c>
      <c r="H7" s="3">
        <f>SUM(E7:G7)</f>
        <v>13008.060000000001</v>
      </c>
      <c r="I7" s="15">
        <f>SUM(D7-H7)</f>
        <v>4782.5</v>
      </c>
      <c r="K7" s="12">
        <v>4782.5</v>
      </c>
    </row>
    <row r="8" spans="1:12" x14ac:dyDescent="0.25">
      <c r="A8" s="2" t="s">
        <v>1</v>
      </c>
      <c r="B8" s="8">
        <v>4767.3100000000004</v>
      </c>
      <c r="C8" s="8">
        <v>6.94</v>
      </c>
      <c r="D8" s="4">
        <f t="shared" si="0"/>
        <v>4774.25</v>
      </c>
      <c r="E8" s="11">
        <v>319.91000000000003</v>
      </c>
      <c r="F8" s="11">
        <v>525.16</v>
      </c>
      <c r="G8" s="4">
        <f t="shared" si="1"/>
        <v>2314.4500000000003</v>
      </c>
      <c r="H8" s="4">
        <f t="shared" ref="H8:H63" si="2">SUM(E8:G8)</f>
        <v>3159.5200000000004</v>
      </c>
      <c r="I8" s="16">
        <f t="shared" ref="I8:I63" si="3">SUM(D8-H8)</f>
        <v>1614.7299999999996</v>
      </c>
      <c r="K8" s="12">
        <v>1614.73</v>
      </c>
    </row>
    <row r="9" spans="1:12" x14ac:dyDescent="0.25">
      <c r="A9" s="2" t="s">
        <v>2</v>
      </c>
      <c r="B9" s="8">
        <v>2144.31</v>
      </c>
      <c r="C9" s="8"/>
      <c r="D9" s="4">
        <f t="shared" si="0"/>
        <v>2144.31</v>
      </c>
      <c r="E9" s="11"/>
      <c r="F9" s="11">
        <v>192.98</v>
      </c>
      <c r="G9" s="4">
        <f t="shared" si="1"/>
        <v>1051.1399999999999</v>
      </c>
      <c r="H9" s="4">
        <f t="shared" si="2"/>
        <v>1244.1199999999999</v>
      </c>
      <c r="I9" s="16">
        <f t="shared" si="3"/>
        <v>900.19</v>
      </c>
      <c r="K9" s="12">
        <v>900.19</v>
      </c>
    </row>
    <row r="10" spans="1:12" x14ac:dyDescent="0.25">
      <c r="A10" s="2" t="s">
        <v>72</v>
      </c>
      <c r="B10" s="8">
        <v>1379.87</v>
      </c>
      <c r="C10" s="8"/>
      <c r="D10" s="4">
        <f t="shared" si="0"/>
        <v>1379.87</v>
      </c>
      <c r="E10" s="11"/>
      <c r="F10" s="11">
        <v>110.38</v>
      </c>
      <c r="G10" s="4">
        <f t="shared" si="1"/>
        <v>676.40999999999974</v>
      </c>
      <c r="H10" s="4">
        <f t="shared" si="2"/>
        <v>786.78999999999974</v>
      </c>
      <c r="I10" s="16">
        <f t="shared" si="3"/>
        <v>593.08000000000015</v>
      </c>
      <c r="K10" s="12">
        <v>593.08000000000004</v>
      </c>
    </row>
    <row r="11" spans="1:12" x14ac:dyDescent="0.25">
      <c r="A11" s="2" t="s">
        <v>3</v>
      </c>
      <c r="B11" s="8">
        <v>2371.8200000000002</v>
      </c>
      <c r="C11" s="8"/>
      <c r="D11" s="4">
        <f t="shared" si="0"/>
        <v>2371.8200000000002</v>
      </c>
      <c r="E11" s="11"/>
      <c r="F11" s="11">
        <v>213.46</v>
      </c>
      <c r="G11" s="4">
        <f t="shared" si="1"/>
        <v>1134.3000000000002</v>
      </c>
      <c r="H11" s="4">
        <f t="shared" si="2"/>
        <v>1347.7600000000002</v>
      </c>
      <c r="I11" s="16">
        <f>SUM(D11-H11)</f>
        <v>1024.06</v>
      </c>
      <c r="K11" s="12">
        <v>1024.06</v>
      </c>
      <c r="L11" s="1"/>
    </row>
    <row r="12" spans="1:12" x14ac:dyDescent="0.25">
      <c r="A12" s="2" t="s">
        <v>4</v>
      </c>
      <c r="B12" s="8">
        <v>3227.12</v>
      </c>
      <c r="C12" s="8"/>
      <c r="D12" s="4">
        <f t="shared" si="0"/>
        <v>3227.12</v>
      </c>
      <c r="E12" s="11">
        <v>58.39</v>
      </c>
      <c r="F12" s="11">
        <v>354.98</v>
      </c>
      <c r="G12" s="4">
        <f t="shared" si="1"/>
        <v>1568.96</v>
      </c>
      <c r="H12" s="4">
        <f t="shared" si="2"/>
        <v>1982.33</v>
      </c>
      <c r="I12" s="16">
        <f t="shared" si="3"/>
        <v>1244.79</v>
      </c>
      <c r="K12" s="12">
        <v>1244.79</v>
      </c>
    </row>
    <row r="13" spans="1:12" x14ac:dyDescent="0.25">
      <c r="A13" s="2" t="s">
        <v>5</v>
      </c>
      <c r="B13" s="8">
        <v>21406.43</v>
      </c>
      <c r="C13" s="8">
        <v>62.5</v>
      </c>
      <c r="D13" s="4">
        <f t="shared" si="0"/>
        <v>21468.93</v>
      </c>
      <c r="E13" s="11">
        <v>4846.62</v>
      </c>
      <c r="F13" s="11">
        <v>621.03</v>
      </c>
      <c r="G13" s="4">
        <f>D13-E13-F13-K13</f>
        <v>10525.220000000001</v>
      </c>
      <c r="H13" s="4">
        <f t="shared" si="2"/>
        <v>15992.87</v>
      </c>
      <c r="I13" s="16">
        <f t="shared" si="3"/>
        <v>5476.0599999999995</v>
      </c>
      <c r="K13" s="12">
        <v>5476.06</v>
      </c>
    </row>
    <row r="14" spans="1:12" x14ac:dyDescent="0.25">
      <c r="A14" s="2" t="s">
        <v>6</v>
      </c>
      <c r="B14" s="8">
        <v>14333.13</v>
      </c>
      <c r="C14" s="8">
        <v>4.17</v>
      </c>
      <c r="D14" s="4">
        <f t="shared" si="0"/>
        <v>14337.3</v>
      </c>
      <c r="E14" s="11">
        <v>2849.33</v>
      </c>
      <c r="F14" s="11">
        <v>621.03</v>
      </c>
      <c r="G14" s="4">
        <f t="shared" ref="G14:G41" si="4">D14-E14-F14-K14</f>
        <v>7028.1699999999983</v>
      </c>
      <c r="H14" s="4">
        <f t="shared" si="2"/>
        <v>10498.529999999999</v>
      </c>
      <c r="I14" s="16">
        <f t="shared" si="3"/>
        <v>3838.7700000000004</v>
      </c>
      <c r="K14" s="12">
        <v>3838.77</v>
      </c>
    </row>
    <row r="15" spans="1:12" x14ac:dyDescent="0.25">
      <c r="A15" s="2" t="s">
        <v>7</v>
      </c>
      <c r="B15" s="8">
        <v>18096.18</v>
      </c>
      <c r="C15" s="8"/>
      <c r="D15" s="4">
        <f t="shared" si="0"/>
        <v>18096.18</v>
      </c>
      <c r="E15" s="11">
        <v>3884.16</v>
      </c>
      <c r="F15" s="11">
        <v>621.03</v>
      </c>
      <c r="G15" s="4">
        <f t="shared" si="4"/>
        <v>8870.68</v>
      </c>
      <c r="H15" s="4">
        <f t="shared" si="2"/>
        <v>13375.869999999999</v>
      </c>
      <c r="I15" s="16">
        <f t="shared" si="3"/>
        <v>4720.3100000000013</v>
      </c>
      <c r="K15" s="12">
        <v>4720.3100000000004</v>
      </c>
    </row>
    <row r="16" spans="1:12" x14ac:dyDescent="0.25">
      <c r="A16" s="2" t="s">
        <v>8</v>
      </c>
      <c r="B16" s="8">
        <v>2164.9299999999998</v>
      </c>
      <c r="C16" s="8"/>
      <c r="D16" s="4">
        <f t="shared" si="0"/>
        <v>2164.9299999999998</v>
      </c>
      <c r="E16" s="11"/>
      <c r="F16" s="11">
        <v>194.84</v>
      </c>
      <c r="G16" s="4">
        <f t="shared" si="4"/>
        <v>1044.94</v>
      </c>
      <c r="H16" s="4">
        <f t="shared" si="2"/>
        <v>1239.78</v>
      </c>
      <c r="I16" s="16">
        <f t="shared" si="3"/>
        <v>925.14999999999986</v>
      </c>
      <c r="K16" s="12">
        <v>925.15</v>
      </c>
    </row>
    <row r="17" spans="1:11" x14ac:dyDescent="0.25">
      <c r="A17" s="2" t="s">
        <v>9</v>
      </c>
      <c r="B17" s="8">
        <v>2002.72</v>
      </c>
      <c r="C17" s="8"/>
      <c r="D17" s="4">
        <f t="shared" si="0"/>
        <v>2002.72</v>
      </c>
      <c r="E17" s="11"/>
      <c r="F17" s="11">
        <v>180.24</v>
      </c>
      <c r="G17" s="4">
        <f t="shared" si="4"/>
        <v>958.86</v>
      </c>
      <c r="H17" s="4">
        <f t="shared" si="2"/>
        <v>1139.0999999999999</v>
      </c>
      <c r="I17" s="16">
        <f t="shared" si="3"/>
        <v>863.62000000000012</v>
      </c>
      <c r="K17" s="12">
        <v>863.62</v>
      </c>
    </row>
    <row r="18" spans="1:11" x14ac:dyDescent="0.25">
      <c r="A18" s="2" t="s">
        <v>79</v>
      </c>
      <c r="B18" s="8">
        <v>135.28</v>
      </c>
      <c r="C18" s="8"/>
      <c r="D18" s="4">
        <f t="shared" si="0"/>
        <v>135.28</v>
      </c>
      <c r="E18" s="11"/>
      <c r="F18" s="11">
        <v>10.82</v>
      </c>
      <c r="G18" s="4">
        <f t="shared" si="4"/>
        <v>0</v>
      </c>
      <c r="H18" s="4">
        <f t="shared" ref="H18" si="5">SUM(E18:G18)</f>
        <v>10.82</v>
      </c>
      <c r="I18" s="16">
        <f t="shared" si="3"/>
        <v>124.46000000000001</v>
      </c>
      <c r="K18" s="12">
        <v>124.46</v>
      </c>
    </row>
    <row r="19" spans="1:11" x14ac:dyDescent="0.25">
      <c r="A19" s="2" t="s">
        <v>10</v>
      </c>
      <c r="B19" s="8">
        <v>6124.4</v>
      </c>
      <c r="C19" s="8"/>
      <c r="D19" s="4">
        <f t="shared" si="0"/>
        <v>6124.4</v>
      </c>
      <c r="E19" s="11">
        <v>539.79</v>
      </c>
      <c r="F19" s="11">
        <v>621.03</v>
      </c>
      <c r="G19" s="4">
        <f t="shared" si="4"/>
        <v>2917.01</v>
      </c>
      <c r="H19" s="4">
        <f t="shared" si="2"/>
        <v>4077.83</v>
      </c>
      <c r="I19" s="16">
        <f t="shared" si="3"/>
        <v>2046.5699999999997</v>
      </c>
      <c r="K19" s="12">
        <v>2046.57</v>
      </c>
    </row>
    <row r="20" spans="1:11" x14ac:dyDescent="0.25">
      <c r="A20" s="2" t="s">
        <v>11</v>
      </c>
      <c r="B20" s="8">
        <v>2185.5500000000002</v>
      </c>
      <c r="C20" s="8"/>
      <c r="D20" s="4">
        <f t="shared" si="0"/>
        <v>2185.5500000000002</v>
      </c>
      <c r="E20" s="11"/>
      <c r="F20" s="11">
        <v>196.69</v>
      </c>
      <c r="G20" s="4">
        <f t="shared" si="4"/>
        <v>1071.3500000000001</v>
      </c>
      <c r="H20" s="4">
        <f t="shared" si="2"/>
        <v>1268.0400000000002</v>
      </c>
      <c r="I20" s="16">
        <f t="shared" si="3"/>
        <v>917.51</v>
      </c>
      <c r="K20" s="12">
        <v>917.51</v>
      </c>
    </row>
    <row r="21" spans="1:11" x14ac:dyDescent="0.25">
      <c r="A21" s="2" t="s">
        <v>12</v>
      </c>
      <c r="B21" s="8">
        <v>33763</v>
      </c>
      <c r="C21" s="8"/>
      <c r="D21" s="4">
        <f t="shared" si="0"/>
        <v>33763</v>
      </c>
      <c r="E21" s="11">
        <v>8244.68</v>
      </c>
      <c r="F21" s="11">
        <v>621.03</v>
      </c>
      <c r="G21" s="4">
        <f t="shared" si="4"/>
        <v>16749.52</v>
      </c>
      <c r="H21" s="4">
        <f t="shared" si="2"/>
        <v>25615.230000000003</v>
      </c>
      <c r="I21" s="16">
        <f t="shared" si="3"/>
        <v>8147.7699999999968</v>
      </c>
      <c r="K21" s="12">
        <v>8147.77</v>
      </c>
    </row>
    <row r="22" spans="1:11" x14ac:dyDescent="0.25">
      <c r="A22" s="2" t="s">
        <v>13</v>
      </c>
      <c r="B22" s="8">
        <v>16162.73</v>
      </c>
      <c r="C22" s="8"/>
      <c r="D22" s="4">
        <f t="shared" si="0"/>
        <v>16162.73</v>
      </c>
      <c r="E22" s="11">
        <v>3352.47</v>
      </c>
      <c r="F22" s="11">
        <v>621.03</v>
      </c>
      <c r="G22" s="4">
        <f t="shared" si="4"/>
        <v>7922.91</v>
      </c>
      <c r="H22" s="4">
        <f t="shared" si="2"/>
        <v>11896.41</v>
      </c>
      <c r="I22" s="16">
        <f t="shared" si="3"/>
        <v>4266.32</v>
      </c>
      <c r="K22" s="12">
        <v>4266.32</v>
      </c>
    </row>
    <row r="23" spans="1:11" x14ac:dyDescent="0.25">
      <c r="A23" s="2" t="s">
        <v>14</v>
      </c>
      <c r="B23" s="8">
        <v>5789.06</v>
      </c>
      <c r="C23" s="8"/>
      <c r="D23" s="4">
        <f t="shared" si="0"/>
        <v>5789.06</v>
      </c>
      <c r="E23" s="11">
        <v>447.57</v>
      </c>
      <c r="F23" s="11">
        <v>621.03</v>
      </c>
      <c r="G23" s="4">
        <f t="shared" si="4"/>
        <v>2860.1600000000008</v>
      </c>
      <c r="H23" s="4">
        <f t="shared" si="2"/>
        <v>3928.7600000000007</v>
      </c>
      <c r="I23" s="16">
        <f t="shared" si="3"/>
        <v>1860.2999999999997</v>
      </c>
      <c r="K23" s="12">
        <v>1860.3</v>
      </c>
    </row>
    <row r="24" spans="1:11" x14ac:dyDescent="0.25">
      <c r="A24" s="2" t="s">
        <v>69</v>
      </c>
      <c r="B24" s="8">
        <v>2580.81</v>
      </c>
      <c r="C24" s="8">
        <v>37.5</v>
      </c>
      <c r="D24" s="4">
        <f t="shared" si="0"/>
        <v>2618.31</v>
      </c>
      <c r="E24" s="11">
        <v>33.340000000000003</v>
      </c>
      <c r="F24" s="11">
        <v>232.27</v>
      </c>
      <c r="G24" s="4">
        <f t="shared" si="4"/>
        <v>1271.8799999999999</v>
      </c>
      <c r="H24" s="4">
        <f t="shared" si="2"/>
        <v>1537.4899999999998</v>
      </c>
      <c r="I24" s="16">
        <f t="shared" si="3"/>
        <v>1080.8200000000002</v>
      </c>
      <c r="K24" s="12">
        <v>1080.82</v>
      </c>
    </row>
    <row r="25" spans="1:11" x14ac:dyDescent="0.25">
      <c r="A25" s="2" t="s">
        <v>15</v>
      </c>
      <c r="B25" s="8">
        <v>16162.73</v>
      </c>
      <c r="C25" s="8"/>
      <c r="D25" s="4">
        <f t="shared" si="0"/>
        <v>16162.73</v>
      </c>
      <c r="E25" s="11">
        <v>3352.47</v>
      </c>
      <c r="F25" s="11">
        <v>621.03</v>
      </c>
      <c r="G25" s="4">
        <f t="shared" si="4"/>
        <v>9202.81</v>
      </c>
      <c r="H25" s="4">
        <f t="shared" si="2"/>
        <v>13176.31</v>
      </c>
      <c r="I25" s="16">
        <f t="shared" si="3"/>
        <v>2986.42</v>
      </c>
      <c r="K25" s="12">
        <v>2986.42</v>
      </c>
    </row>
    <row r="26" spans="1:11" x14ac:dyDescent="0.25">
      <c r="A26" s="2" t="s">
        <v>16</v>
      </c>
      <c r="B26" s="8">
        <v>6175</v>
      </c>
      <c r="C26" s="8"/>
      <c r="D26" s="4">
        <f t="shared" si="0"/>
        <v>6175</v>
      </c>
      <c r="E26" s="11">
        <v>553.70000000000005</v>
      </c>
      <c r="F26" s="11">
        <v>621.03</v>
      </c>
      <c r="G26" s="4">
        <f t="shared" si="4"/>
        <v>2980.51</v>
      </c>
      <c r="H26" s="4">
        <f t="shared" si="2"/>
        <v>4155.24</v>
      </c>
      <c r="I26" s="16">
        <f>SUM(D26-H26)</f>
        <v>2019.7600000000002</v>
      </c>
      <c r="K26" s="12">
        <v>2019.76</v>
      </c>
    </row>
    <row r="27" spans="1:11" x14ac:dyDescent="0.25">
      <c r="A27" s="2" t="s">
        <v>17</v>
      </c>
      <c r="B27" s="8">
        <v>6606.03</v>
      </c>
      <c r="C27" s="8"/>
      <c r="D27" s="4">
        <f t="shared" si="0"/>
        <v>6606.03</v>
      </c>
      <c r="E27" s="11">
        <v>776.51</v>
      </c>
      <c r="F27" s="11">
        <v>621.03</v>
      </c>
      <c r="G27" s="4">
        <f t="shared" si="4"/>
        <v>3238.25</v>
      </c>
      <c r="H27" s="4">
        <f t="shared" si="2"/>
        <v>4635.79</v>
      </c>
      <c r="I27" s="16">
        <f t="shared" si="3"/>
        <v>1970.2399999999998</v>
      </c>
      <c r="K27" s="12">
        <v>1970.24</v>
      </c>
    </row>
    <row r="28" spans="1:11" x14ac:dyDescent="0.25">
      <c r="A28" s="2" t="s">
        <v>18</v>
      </c>
      <c r="B28" s="9">
        <v>2102.29</v>
      </c>
      <c r="C28" s="8"/>
      <c r="D28" s="4">
        <f t="shared" si="0"/>
        <v>2102.29</v>
      </c>
      <c r="E28" s="11"/>
      <c r="F28" s="11">
        <v>189.2</v>
      </c>
      <c r="G28" s="4">
        <f t="shared" si="4"/>
        <v>1051.1499999999999</v>
      </c>
      <c r="H28" s="4">
        <f t="shared" si="2"/>
        <v>1240.3499999999999</v>
      </c>
      <c r="I28" s="16">
        <f t="shared" si="3"/>
        <v>861.94</v>
      </c>
      <c r="K28" s="12">
        <v>861.94</v>
      </c>
    </row>
    <row r="29" spans="1:11" x14ac:dyDescent="0.25">
      <c r="A29" s="2" t="s">
        <v>19</v>
      </c>
      <c r="B29" s="8">
        <v>4594.51</v>
      </c>
      <c r="C29" s="8"/>
      <c r="D29" s="4">
        <f t="shared" si="0"/>
        <v>4594.51</v>
      </c>
      <c r="E29" s="11">
        <v>201.69</v>
      </c>
      <c r="F29" s="11">
        <v>505.39</v>
      </c>
      <c r="G29" s="4">
        <f t="shared" si="4"/>
        <v>2217.6100000000006</v>
      </c>
      <c r="H29" s="4">
        <f t="shared" si="2"/>
        <v>2924.6900000000005</v>
      </c>
      <c r="I29" s="16">
        <f t="shared" si="3"/>
        <v>1669.8199999999997</v>
      </c>
      <c r="K29" s="12">
        <v>1669.82</v>
      </c>
    </row>
    <row r="30" spans="1:11" x14ac:dyDescent="0.25">
      <c r="A30" s="2" t="s">
        <v>20</v>
      </c>
      <c r="B30" s="8">
        <v>5553.17</v>
      </c>
      <c r="C30" s="8"/>
      <c r="D30" s="4">
        <f t="shared" si="0"/>
        <v>5553.17</v>
      </c>
      <c r="E30" s="11">
        <v>489.78</v>
      </c>
      <c r="F30" s="11">
        <v>610.84</v>
      </c>
      <c r="G30" s="4">
        <f t="shared" si="4"/>
        <v>2659.55</v>
      </c>
      <c r="H30" s="4">
        <f t="shared" si="2"/>
        <v>3760.17</v>
      </c>
      <c r="I30" s="16">
        <f t="shared" si="3"/>
        <v>1793</v>
      </c>
      <c r="K30" s="12">
        <v>1793</v>
      </c>
    </row>
    <row r="31" spans="1:11" x14ac:dyDescent="0.25">
      <c r="A31" s="2" t="s">
        <v>21</v>
      </c>
      <c r="B31" s="8">
        <v>6653.68</v>
      </c>
      <c r="C31" s="8"/>
      <c r="D31" s="4">
        <f t="shared" si="0"/>
        <v>6653.68</v>
      </c>
      <c r="E31" s="11">
        <v>789.61</v>
      </c>
      <c r="F31" s="11">
        <v>621.03</v>
      </c>
      <c r="G31" s="4">
        <f t="shared" si="4"/>
        <v>3275.2900000000009</v>
      </c>
      <c r="H31" s="4">
        <f t="shared" si="2"/>
        <v>4685.93</v>
      </c>
      <c r="I31" s="16">
        <f t="shared" si="3"/>
        <v>1967.75</v>
      </c>
      <c r="K31" s="12">
        <v>1967.75</v>
      </c>
    </row>
    <row r="32" spans="1:11" x14ac:dyDescent="0.25">
      <c r="A32" s="2" t="s">
        <v>74</v>
      </c>
      <c r="B32" s="8">
        <v>2726.08</v>
      </c>
      <c r="C32" s="8">
        <v>41.67</v>
      </c>
      <c r="D32" s="4">
        <f t="shared" si="0"/>
        <v>2767.75</v>
      </c>
      <c r="E32" s="11"/>
      <c r="F32" s="11">
        <v>245.34</v>
      </c>
      <c r="G32" s="4">
        <f t="shared" si="4"/>
        <v>1400.81</v>
      </c>
      <c r="H32" s="4">
        <f t="shared" ref="H32" si="6">SUM(E32:G32)</f>
        <v>1646.1499999999999</v>
      </c>
      <c r="I32" s="16">
        <f>SUM(D32-H32)</f>
        <v>1121.6000000000001</v>
      </c>
      <c r="K32" s="12">
        <v>1121.5999999999999</v>
      </c>
    </row>
    <row r="33" spans="1:11" x14ac:dyDescent="0.25">
      <c r="A33" s="2" t="s">
        <v>22</v>
      </c>
      <c r="B33" s="8">
        <v>1226.2</v>
      </c>
      <c r="C33" s="8"/>
      <c r="D33" s="4">
        <f t="shared" si="0"/>
        <v>1226.2</v>
      </c>
      <c r="E33" s="11"/>
      <c r="F33" s="11">
        <v>98.09</v>
      </c>
      <c r="G33" s="4">
        <f t="shared" si="4"/>
        <v>887.78000000000009</v>
      </c>
      <c r="H33" s="4">
        <f t="shared" si="2"/>
        <v>985.87000000000012</v>
      </c>
      <c r="I33" s="16">
        <f>SUM(D33-H33)</f>
        <v>240.32999999999993</v>
      </c>
      <c r="K33" s="12">
        <v>240.33</v>
      </c>
    </row>
    <row r="34" spans="1:11" x14ac:dyDescent="0.25">
      <c r="A34" s="2" t="s">
        <v>23</v>
      </c>
      <c r="B34" s="8">
        <v>6009.08</v>
      </c>
      <c r="C34" s="8"/>
      <c r="D34" s="4">
        <f t="shared" si="0"/>
        <v>6009.08</v>
      </c>
      <c r="E34" s="11">
        <v>612.35</v>
      </c>
      <c r="F34" s="11">
        <v>621.03</v>
      </c>
      <c r="G34" s="4">
        <f t="shared" si="4"/>
        <v>2918.85</v>
      </c>
      <c r="H34" s="4">
        <f t="shared" si="2"/>
        <v>4152.2299999999996</v>
      </c>
      <c r="I34" s="16">
        <f t="shared" si="3"/>
        <v>1856.8500000000004</v>
      </c>
      <c r="K34" s="12">
        <v>1856.85</v>
      </c>
    </row>
    <row r="35" spans="1:11" x14ac:dyDescent="0.25">
      <c r="A35" s="2" t="s">
        <v>24</v>
      </c>
      <c r="B35" s="8">
        <v>16162.73</v>
      </c>
      <c r="C35" s="8"/>
      <c r="D35" s="4">
        <f t="shared" si="0"/>
        <v>16162.73</v>
      </c>
      <c r="E35" s="11">
        <v>3352.47</v>
      </c>
      <c r="F35" s="11">
        <v>621.03</v>
      </c>
      <c r="G35" s="4">
        <f t="shared" si="4"/>
        <v>9028.02</v>
      </c>
      <c r="H35" s="4">
        <f t="shared" si="2"/>
        <v>13001.52</v>
      </c>
      <c r="I35" s="16">
        <f>SUM(D35-H35)</f>
        <v>3161.2099999999991</v>
      </c>
      <c r="K35" s="12">
        <v>3161.21</v>
      </c>
    </row>
    <row r="36" spans="1:11" x14ac:dyDescent="0.25">
      <c r="A36" s="2" t="s">
        <v>25</v>
      </c>
      <c r="B36" s="8">
        <v>15902.04</v>
      </c>
      <c r="C36" s="8"/>
      <c r="D36" s="4">
        <f t="shared" si="0"/>
        <v>15902.04</v>
      </c>
      <c r="E36" s="11">
        <v>3280.78</v>
      </c>
      <c r="F36" s="11">
        <v>621.03</v>
      </c>
      <c r="G36" s="4">
        <f t="shared" si="4"/>
        <v>7795.1299999999992</v>
      </c>
      <c r="H36" s="4">
        <f t="shared" si="2"/>
        <v>11696.939999999999</v>
      </c>
      <c r="I36" s="16">
        <f t="shared" si="3"/>
        <v>4205.1000000000022</v>
      </c>
      <c r="K36" s="12">
        <v>4205.1000000000004</v>
      </c>
    </row>
    <row r="37" spans="1:11" x14ac:dyDescent="0.25">
      <c r="A37" s="2" t="s">
        <v>75</v>
      </c>
      <c r="B37" s="8">
        <v>5789.87</v>
      </c>
      <c r="C37" s="8"/>
      <c r="D37" s="4">
        <f t="shared" si="0"/>
        <v>5789.87</v>
      </c>
      <c r="E37" s="11">
        <v>552.07000000000005</v>
      </c>
      <c r="F37" s="11">
        <v>621.03</v>
      </c>
      <c r="G37" s="4">
        <f t="shared" si="4"/>
        <v>2838.1700000000005</v>
      </c>
      <c r="H37" s="4">
        <f t="shared" si="2"/>
        <v>4011.2700000000004</v>
      </c>
      <c r="I37" s="16">
        <f t="shared" si="3"/>
        <v>1778.5999999999995</v>
      </c>
      <c r="K37" s="12">
        <v>1778.6</v>
      </c>
    </row>
    <row r="38" spans="1:11" x14ac:dyDescent="0.25">
      <c r="A38" s="2" t="s">
        <v>26</v>
      </c>
      <c r="B38" s="8">
        <v>5270.06</v>
      </c>
      <c r="C38" s="8"/>
      <c r="D38" s="4">
        <f t="shared" si="0"/>
        <v>5270.06</v>
      </c>
      <c r="E38" s="11">
        <v>333.88</v>
      </c>
      <c r="F38" s="11">
        <v>579.70000000000005</v>
      </c>
      <c r="G38" s="4">
        <f t="shared" si="4"/>
        <v>2543.6900000000005</v>
      </c>
      <c r="H38" s="4">
        <f t="shared" si="2"/>
        <v>3457.2700000000004</v>
      </c>
      <c r="I38" s="16">
        <f>SUM(D38-H38)</f>
        <v>1812.79</v>
      </c>
      <c r="K38" s="12">
        <v>1812.79</v>
      </c>
    </row>
    <row r="39" spans="1:11" x14ac:dyDescent="0.25">
      <c r="A39" s="2" t="s">
        <v>71</v>
      </c>
      <c r="B39" s="8">
        <v>1672.4</v>
      </c>
      <c r="C39" s="8"/>
      <c r="D39" s="4">
        <f t="shared" si="0"/>
        <v>1672.4</v>
      </c>
      <c r="E39" s="11"/>
      <c r="F39" s="11">
        <v>133.79</v>
      </c>
      <c r="G39" s="4">
        <f t="shared" si="4"/>
        <v>811.69000000000017</v>
      </c>
      <c r="H39" s="4">
        <f t="shared" ref="H39" si="7">SUM(E39:G39)</f>
        <v>945.48000000000013</v>
      </c>
      <c r="I39" s="16">
        <f t="shared" ref="I39" si="8">SUM(D39-H39)</f>
        <v>726.92</v>
      </c>
      <c r="K39" s="12">
        <v>726.92</v>
      </c>
    </row>
    <row r="40" spans="1:11" x14ac:dyDescent="0.25">
      <c r="A40" s="2" t="s">
        <v>27</v>
      </c>
      <c r="B40" s="8">
        <v>2684.74</v>
      </c>
      <c r="C40" s="8"/>
      <c r="D40" s="4">
        <f t="shared" si="0"/>
        <v>2684.74</v>
      </c>
      <c r="E40" s="11">
        <v>40.43</v>
      </c>
      <c r="F40" s="11">
        <v>241.62</v>
      </c>
      <c r="G40" s="4">
        <f t="shared" si="4"/>
        <v>1316.05</v>
      </c>
      <c r="H40" s="4">
        <f t="shared" si="2"/>
        <v>1598.1</v>
      </c>
      <c r="I40" s="16">
        <f t="shared" si="3"/>
        <v>1086.6399999999999</v>
      </c>
      <c r="K40" s="12">
        <v>1086.6400000000001</v>
      </c>
    </row>
    <row r="41" spans="1:11" ht="15.75" thickBot="1" x14ac:dyDescent="0.3">
      <c r="A41" s="2" t="s">
        <v>28</v>
      </c>
      <c r="B41" s="8">
        <v>16032.39</v>
      </c>
      <c r="C41" s="8"/>
      <c r="D41" s="4">
        <f t="shared" si="0"/>
        <v>16032.39</v>
      </c>
      <c r="E41" s="11">
        <v>3212.35</v>
      </c>
      <c r="F41" s="11">
        <v>621.03</v>
      </c>
      <c r="G41" s="4">
        <f t="shared" si="4"/>
        <v>7859.0099999999984</v>
      </c>
      <c r="H41" s="4">
        <f t="shared" si="2"/>
        <v>11692.39</v>
      </c>
      <c r="I41" s="16">
        <f t="shared" si="3"/>
        <v>4340</v>
      </c>
      <c r="K41" s="12">
        <v>4340</v>
      </c>
    </row>
    <row r="42" spans="1:11" x14ac:dyDescent="0.25">
      <c r="A42" s="126" t="s">
        <v>58</v>
      </c>
      <c r="B42" s="128" t="s">
        <v>48</v>
      </c>
      <c r="C42" s="128" t="s">
        <v>80</v>
      </c>
      <c r="D42" s="5" t="s">
        <v>50</v>
      </c>
      <c r="E42" s="130" t="s">
        <v>52</v>
      </c>
      <c r="F42" s="130" t="s">
        <v>53</v>
      </c>
      <c r="G42" s="5" t="s">
        <v>54</v>
      </c>
      <c r="H42" s="5" t="s">
        <v>56</v>
      </c>
      <c r="I42" s="5" t="s">
        <v>50</v>
      </c>
      <c r="K42" s="14"/>
    </row>
    <row r="43" spans="1:11" ht="15.75" thickBot="1" x14ac:dyDescent="0.3">
      <c r="A43" s="127"/>
      <c r="B43" s="129"/>
      <c r="C43" s="129"/>
      <c r="D43" s="6" t="s">
        <v>51</v>
      </c>
      <c r="E43" s="131"/>
      <c r="F43" s="131"/>
      <c r="G43" s="6" t="s">
        <v>55</v>
      </c>
      <c r="H43" s="6" t="s">
        <v>55</v>
      </c>
      <c r="I43" s="6" t="s">
        <v>57</v>
      </c>
      <c r="K43" s="14"/>
    </row>
    <row r="44" spans="1:11" x14ac:dyDescent="0.25">
      <c r="A44" s="2" t="s">
        <v>29</v>
      </c>
      <c r="B44" s="8">
        <v>1842.3</v>
      </c>
      <c r="C44" s="8"/>
      <c r="D44" s="4">
        <f t="shared" ref="D44:D63" si="9">SUM(B44:C44)</f>
        <v>1842.3</v>
      </c>
      <c r="E44" s="11"/>
      <c r="F44" s="11">
        <v>165.8</v>
      </c>
      <c r="G44" s="4">
        <f t="shared" ref="G44:G63" si="10">D44-E44-F44-K44</f>
        <v>894.81</v>
      </c>
      <c r="H44" s="4">
        <f t="shared" si="2"/>
        <v>1060.6099999999999</v>
      </c>
      <c r="I44" s="16">
        <f t="shared" si="3"/>
        <v>781.69</v>
      </c>
      <c r="K44" s="12">
        <v>781.69</v>
      </c>
    </row>
    <row r="45" spans="1:11" x14ac:dyDescent="0.25">
      <c r="A45" s="2" t="s">
        <v>30</v>
      </c>
      <c r="B45" s="8">
        <v>3767.43</v>
      </c>
      <c r="C45" s="8">
        <v>12.5</v>
      </c>
      <c r="D45" s="4">
        <f t="shared" si="9"/>
        <v>3779.93</v>
      </c>
      <c r="E45" s="11">
        <v>149.82</v>
      </c>
      <c r="F45" s="11">
        <v>415.79</v>
      </c>
      <c r="G45" s="4">
        <f t="shared" si="10"/>
        <v>1831.2599999999998</v>
      </c>
      <c r="H45" s="4">
        <f t="shared" si="2"/>
        <v>2396.87</v>
      </c>
      <c r="I45" s="16">
        <f t="shared" si="3"/>
        <v>1383.06</v>
      </c>
      <c r="K45" s="12">
        <v>1383.06</v>
      </c>
    </row>
    <row r="46" spans="1:11" x14ac:dyDescent="0.25">
      <c r="A46" s="2" t="s">
        <v>31</v>
      </c>
      <c r="B46" s="8">
        <v>7979.85</v>
      </c>
      <c r="C46" s="8"/>
      <c r="D46" s="4">
        <f t="shared" si="9"/>
        <v>7979.85</v>
      </c>
      <c r="E46" s="11">
        <v>1102.17</v>
      </c>
      <c r="F46" s="11">
        <v>621.03</v>
      </c>
      <c r="G46" s="4">
        <f t="shared" si="10"/>
        <v>3876.7700000000004</v>
      </c>
      <c r="H46" s="4">
        <f t="shared" si="2"/>
        <v>5599.97</v>
      </c>
      <c r="I46" s="16">
        <f t="shared" si="3"/>
        <v>2379.88</v>
      </c>
      <c r="K46" s="12">
        <v>2379.88</v>
      </c>
    </row>
    <row r="47" spans="1:11" x14ac:dyDescent="0.25">
      <c r="A47" s="2" t="s">
        <v>32</v>
      </c>
      <c r="B47" s="8">
        <v>8174.71</v>
      </c>
      <c r="C47" s="8">
        <v>95.83</v>
      </c>
      <c r="D47" s="4">
        <f t="shared" si="9"/>
        <v>8270.5400000000009</v>
      </c>
      <c r="E47" s="11">
        <v>1129.98</v>
      </c>
      <c r="F47" s="11">
        <v>621.03</v>
      </c>
      <c r="G47" s="4">
        <f>D47-E47-F47-K47</f>
        <v>3998.0900000000015</v>
      </c>
      <c r="H47" s="4">
        <f>SUM(E47:G47)</f>
        <v>5749.1000000000013</v>
      </c>
      <c r="I47" s="16">
        <f t="shared" si="3"/>
        <v>2521.4399999999996</v>
      </c>
      <c r="K47" s="12">
        <v>2521.44</v>
      </c>
    </row>
    <row r="48" spans="1:11" x14ac:dyDescent="0.25">
      <c r="A48" s="2" t="s">
        <v>33</v>
      </c>
      <c r="B48" s="8">
        <v>6004.31</v>
      </c>
      <c r="C48" s="8"/>
      <c r="D48" s="4">
        <f t="shared" si="9"/>
        <v>6004.31</v>
      </c>
      <c r="E48" s="11">
        <v>506.76</v>
      </c>
      <c r="F48" s="11">
        <v>621.03</v>
      </c>
      <c r="G48" s="4">
        <f t="shared" si="10"/>
        <v>2917.01</v>
      </c>
      <c r="H48" s="4">
        <f t="shared" si="2"/>
        <v>4044.8</v>
      </c>
      <c r="I48" s="16">
        <f t="shared" si="3"/>
        <v>1959.5100000000002</v>
      </c>
      <c r="K48" s="12">
        <v>1959.51</v>
      </c>
    </row>
    <row r="49" spans="1:11" x14ac:dyDescent="0.25">
      <c r="A49" s="2" t="s">
        <v>34</v>
      </c>
      <c r="B49" s="8">
        <v>6136.65</v>
      </c>
      <c r="C49" s="8"/>
      <c r="D49" s="4">
        <f t="shared" si="9"/>
        <v>6136.65</v>
      </c>
      <c r="E49" s="11">
        <v>595.29</v>
      </c>
      <c r="F49" s="11">
        <v>621.03</v>
      </c>
      <c r="G49" s="4">
        <f t="shared" si="10"/>
        <v>2961.96</v>
      </c>
      <c r="H49" s="4">
        <f t="shared" si="2"/>
        <v>4178.28</v>
      </c>
      <c r="I49" s="16">
        <f>SUM(D49-H49)</f>
        <v>1958.37</v>
      </c>
      <c r="K49" s="12">
        <v>1958.37</v>
      </c>
    </row>
    <row r="50" spans="1:11" x14ac:dyDescent="0.25">
      <c r="A50" s="2" t="s">
        <v>35</v>
      </c>
      <c r="B50" s="8">
        <v>5789.87</v>
      </c>
      <c r="C50" s="8"/>
      <c r="D50" s="4">
        <f t="shared" si="9"/>
        <v>5789.87</v>
      </c>
      <c r="E50" s="11">
        <v>499.93</v>
      </c>
      <c r="F50" s="11">
        <v>621.03</v>
      </c>
      <c r="G50" s="4">
        <f t="shared" si="10"/>
        <v>2794.5699999999997</v>
      </c>
      <c r="H50" s="4">
        <f t="shared" si="2"/>
        <v>3915.5299999999997</v>
      </c>
      <c r="I50" s="16">
        <f>SUM(D50-H50)</f>
        <v>1874.3400000000001</v>
      </c>
      <c r="K50" s="12">
        <v>1874.34</v>
      </c>
    </row>
    <row r="51" spans="1:11" x14ac:dyDescent="0.25">
      <c r="A51" s="2" t="s">
        <v>36</v>
      </c>
      <c r="B51" s="8">
        <v>3724.51</v>
      </c>
      <c r="C51" s="8"/>
      <c r="D51" s="4">
        <f t="shared" si="9"/>
        <v>3724.51</v>
      </c>
      <c r="E51" s="11">
        <v>85.54</v>
      </c>
      <c r="F51" s="11">
        <v>409.69</v>
      </c>
      <c r="G51" s="4">
        <f t="shared" si="10"/>
        <v>1825.7400000000002</v>
      </c>
      <c r="H51" s="4">
        <f t="shared" si="2"/>
        <v>2320.9700000000003</v>
      </c>
      <c r="I51" s="16">
        <f t="shared" si="3"/>
        <v>1403.54</v>
      </c>
      <c r="K51" s="12">
        <v>1403.54</v>
      </c>
    </row>
    <row r="52" spans="1:11" x14ac:dyDescent="0.25">
      <c r="A52" s="2" t="s">
        <v>37</v>
      </c>
      <c r="B52" s="8">
        <v>2164.9299999999998</v>
      </c>
      <c r="C52" s="8"/>
      <c r="D52" s="4">
        <f t="shared" si="9"/>
        <v>2164.9299999999998</v>
      </c>
      <c r="E52" s="11"/>
      <c r="F52" s="11">
        <v>194.84</v>
      </c>
      <c r="G52" s="4">
        <f t="shared" si="10"/>
        <v>1061.2399999999998</v>
      </c>
      <c r="H52" s="4">
        <f t="shared" si="2"/>
        <v>1256.0799999999997</v>
      </c>
      <c r="I52" s="16">
        <f t="shared" si="3"/>
        <v>908.85000000000014</v>
      </c>
      <c r="K52" s="12">
        <v>908.85</v>
      </c>
    </row>
    <row r="53" spans="1:11" x14ac:dyDescent="0.25">
      <c r="A53" s="2" t="s">
        <v>38</v>
      </c>
      <c r="B53" s="8">
        <v>31165.26</v>
      </c>
      <c r="C53" s="8"/>
      <c r="D53" s="4">
        <f t="shared" si="9"/>
        <v>31165.26</v>
      </c>
      <c r="E53" s="11">
        <v>7530.3</v>
      </c>
      <c r="F53" s="11">
        <v>621.03</v>
      </c>
      <c r="G53" s="4">
        <f t="shared" si="10"/>
        <v>15277.09</v>
      </c>
      <c r="H53" s="4">
        <f t="shared" si="2"/>
        <v>23428.42</v>
      </c>
      <c r="I53" s="16">
        <f t="shared" si="3"/>
        <v>7736.84</v>
      </c>
      <c r="K53" s="12">
        <v>7736.84</v>
      </c>
    </row>
    <row r="54" spans="1:11" x14ac:dyDescent="0.25">
      <c r="A54" s="2" t="s">
        <v>39</v>
      </c>
      <c r="B54" s="8">
        <v>5905.42</v>
      </c>
      <c r="C54" s="8">
        <v>8.33</v>
      </c>
      <c r="D54" s="4">
        <f t="shared" si="9"/>
        <v>5913.75</v>
      </c>
      <c r="E54" s="11">
        <v>531.71</v>
      </c>
      <c r="F54" s="11">
        <v>621.03</v>
      </c>
      <c r="G54" s="4">
        <f t="shared" si="10"/>
        <v>2872.78</v>
      </c>
      <c r="H54" s="4">
        <f t="shared" si="2"/>
        <v>4025.5200000000004</v>
      </c>
      <c r="I54" s="16">
        <f t="shared" si="3"/>
        <v>1888.2299999999996</v>
      </c>
      <c r="K54" s="12">
        <v>1888.23</v>
      </c>
    </row>
    <row r="55" spans="1:11" x14ac:dyDescent="0.25">
      <c r="A55" s="2" t="s">
        <v>40</v>
      </c>
      <c r="B55" s="8">
        <v>4912.34</v>
      </c>
      <c r="C55" s="8">
        <v>4.17</v>
      </c>
      <c r="D55" s="4">
        <f t="shared" si="9"/>
        <v>4916.51</v>
      </c>
      <c r="E55" s="11">
        <v>304.89999999999998</v>
      </c>
      <c r="F55" s="11">
        <v>540.35</v>
      </c>
      <c r="G55" s="4">
        <f t="shared" si="10"/>
        <v>2387.4500000000007</v>
      </c>
      <c r="H55" s="4">
        <f t="shared" si="2"/>
        <v>3232.7000000000007</v>
      </c>
      <c r="I55" s="16">
        <f t="shared" si="3"/>
        <v>1683.8099999999995</v>
      </c>
      <c r="K55" s="12">
        <v>1683.81</v>
      </c>
    </row>
    <row r="56" spans="1:11" x14ac:dyDescent="0.25">
      <c r="A56" s="2" t="s">
        <v>70</v>
      </c>
      <c r="B56" s="8">
        <v>1672.4</v>
      </c>
      <c r="C56" s="8"/>
      <c r="D56" s="4">
        <f t="shared" si="9"/>
        <v>1672.4</v>
      </c>
      <c r="E56" s="11"/>
      <c r="F56" s="11">
        <v>133.79</v>
      </c>
      <c r="G56" s="4">
        <f t="shared" si="10"/>
        <v>811.69000000000017</v>
      </c>
      <c r="H56" s="4">
        <f t="shared" ref="H56" si="11">SUM(E56:G56)</f>
        <v>945.48000000000013</v>
      </c>
      <c r="I56" s="16">
        <f t="shared" si="3"/>
        <v>726.92</v>
      </c>
      <c r="K56" s="12">
        <v>726.92</v>
      </c>
    </row>
    <row r="57" spans="1:11" x14ac:dyDescent="0.25">
      <c r="A57" s="2" t="s">
        <v>41</v>
      </c>
      <c r="B57" s="8">
        <v>16423.419999999998</v>
      </c>
      <c r="C57" s="8"/>
      <c r="D57" s="4">
        <f t="shared" si="9"/>
        <v>16423.419999999998</v>
      </c>
      <c r="E57" s="11">
        <v>3424.15</v>
      </c>
      <c r="F57" s="11">
        <v>621.03</v>
      </c>
      <c r="G57" s="4">
        <f t="shared" si="10"/>
        <v>7864.1299999999983</v>
      </c>
      <c r="H57" s="4">
        <f t="shared" si="2"/>
        <v>11909.309999999998</v>
      </c>
      <c r="I57" s="16">
        <f>SUM(D57-H57)</f>
        <v>4514.1100000000006</v>
      </c>
      <c r="K57" s="12">
        <v>4514.1099999999997</v>
      </c>
    </row>
    <row r="58" spans="1:11" x14ac:dyDescent="0.25">
      <c r="A58" s="2" t="s">
        <v>42</v>
      </c>
      <c r="B58" s="8">
        <v>1924.05</v>
      </c>
      <c r="C58" s="8"/>
      <c r="D58" s="4">
        <f t="shared" si="9"/>
        <v>1924.05</v>
      </c>
      <c r="E58" s="11"/>
      <c r="F58" s="11">
        <v>173.16</v>
      </c>
      <c r="G58" s="4">
        <f t="shared" si="10"/>
        <v>934.7399999999999</v>
      </c>
      <c r="H58" s="4">
        <f t="shared" si="2"/>
        <v>1107.8999999999999</v>
      </c>
      <c r="I58" s="16">
        <f t="shared" si="3"/>
        <v>816.15000000000009</v>
      </c>
      <c r="K58" s="12">
        <v>816.15</v>
      </c>
    </row>
    <row r="59" spans="1:11" x14ac:dyDescent="0.25">
      <c r="A59" s="2" t="s">
        <v>43</v>
      </c>
      <c r="B59" s="8">
        <v>3735.77</v>
      </c>
      <c r="C59" s="8"/>
      <c r="D59" s="4">
        <f t="shared" si="9"/>
        <v>3735.77</v>
      </c>
      <c r="E59" s="11">
        <v>143.91999999999999</v>
      </c>
      <c r="F59" s="11">
        <v>410.93</v>
      </c>
      <c r="G59" s="4">
        <f t="shared" si="10"/>
        <v>1831.26</v>
      </c>
      <c r="H59" s="4">
        <f t="shared" si="2"/>
        <v>2386.11</v>
      </c>
      <c r="I59" s="16">
        <f t="shared" si="3"/>
        <v>1349.6599999999999</v>
      </c>
      <c r="K59" s="12">
        <v>1349.66</v>
      </c>
    </row>
    <row r="60" spans="1:11" x14ac:dyDescent="0.25">
      <c r="A60" s="2" t="s">
        <v>44</v>
      </c>
      <c r="B60" s="8">
        <v>14572.56</v>
      </c>
      <c r="C60" s="8">
        <v>8.33</v>
      </c>
      <c r="D60" s="4">
        <f t="shared" si="9"/>
        <v>14580.89</v>
      </c>
      <c r="E60" s="11">
        <v>2863.04</v>
      </c>
      <c r="F60" s="11">
        <v>621.03</v>
      </c>
      <c r="G60" s="4">
        <f t="shared" si="10"/>
        <v>5866.3899999999976</v>
      </c>
      <c r="H60" s="4">
        <f t="shared" si="2"/>
        <v>9350.4599999999973</v>
      </c>
      <c r="I60" s="16">
        <f>SUM(D60-H60)</f>
        <v>5230.4300000000021</v>
      </c>
      <c r="K60" s="12">
        <v>5230.43</v>
      </c>
    </row>
    <row r="61" spans="1:11" x14ac:dyDescent="0.25">
      <c r="A61" s="2" t="s">
        <v>45</v>
      </c>
      <c r="B61" s="8">
        <v>4456.4799999999996</v>
      </c>
      <c r="C61" s="8"/>
      <c r="D61" s="4">
        <f t="shared" si="9"/>
        <v>4456.4799999999996</v>
      </c>
      <c r="E61" s="11">
        <v>213.62</v>
      </c>
      <c r="F61" s="11">
        <v>490.21</v>
      </c>
      <c r="G61" s="4">
        <f t="shared" si="10"/>
        <v>2150.9999999999995</v>
      </c>
      <c r="H61" s="4">
        <f t="shared" si="2"/>
        <v>2854.8299999999995</v>
      </c>
      <c r="I61" s="16">
        <f t="shared" si="3"/>
        <v>1601.65</v>
      </c>
      <c r="K61" s="12">
        <v>1601.65</v>
      </c>
    </row>
    <row r="62" spans="1:11" x14ac:dyDescent="0.25">
      <c r="A62" s="2" t="s">
        <v>46</v>
      </c>
      <c r="B62" s="8">
        <v>1788.33</v>
      </c>
      <c r="C62" s="8"/>
      <c r="D62" s="4">
        <f t="shared" si="9"/>
        <v>1788.33</v>
      </c>
      <c r="E62" s="11"/>
      <c r="F62" s="11">
        <v>160.94</v>
      </c>
      <c r="G62" s="4">
        <f t="shared" si="10"/>
        <v>876.63999999999987</v>
      </c>
      <c r="H62" s="4">
        <f t="shared" si="2"/>
        <v>1037.58</v>
      </c>
      <c r="I62" s="16">
        <f t="shared" si="3"/>
        <v>750.75</v>
      </c>
      <c r="K62" s="12">
        <v>750.75</v>
      </c>
    </row>
    <row r="63" spans="1:11" x14ac:dyDescent="0.25">
      <c r="A63" s="2" t="s">
        <v>47</v>
      </c>
      <c r="B63" s="8">
        <v>9404.82</v>
      </c>
      <c r="C63" s="8">
        <v>12.5</v>
      </c>
      <c r="D63" s="4">
        <f t="shared" si="9"/>
        <v>9417.32</v>
      </c>
      <c r="E63" s="11">
        <v>1497.48</v>
      </c>
      <c r="F63" s="11">
        <v>621.03</v>
      </c>
      <c r="G63" s="4">
        <f t="shared" si="10"/>
        <v>4568.3</v>
      </c>
      <c r="H63" s="4">
        <f t="shared" si="2"/>
        <v>6686.81</v>
      </c>
      <c r="I63" s="16">
        <f t="shared" si="3"/>
        <v>2730.5099999999993</v>
      </c>
      <c r="K63" s="12">
        <v>2730.51</v>
      </c>
    </row>
    <row r="65" spans="1:9" x14ac:dyDescent="0.25">
      <c r="A65" s="122" t="s">
        <v>73</v>
      </c>
      <c r="B65" s="123"/>
      <c r="C65" s="123"/>
      <c r="D65" s="123"/>
      <c r="E65" s="123"/>
      <c r="F65" s="123"/>
      <c r="G65" s="123"/>
      <c r="H65" s="123"/>
      <c r="I65" s="123"/>
    </row>
    <row r="66" spans="1:9" x14ac:dyDescent="0.25">
      <c r="A66" s="122" t="s">
        <v>61</v>
      </c>
      <c r="B66" s="123"/>
      <c r="C66" s="123"/>
      <c r="D66" s="123"/>
      <c r="E66" s="123"/>
      <c r="F66" s="123"/>
      <c r="G66" s="123"/>
      <c r="H66" s="123"/>
      <c r="I66" s="123"/>
    </row>
    <row r="67" spans="1:9" x14ac:dyDescent="0.25">
      <c r="A67" s="124"/>
      <c r="B67" s="124"/>
      <c r="C67" s="124"/>
      <c r="D67" s="124"/>
      <c r="E67" s="124"/>
      <c r="F67" s="124"/>
      <c r="G67" s="124"/>
      <c r="H67" s="124"/>
      <c r="I67" s="124"/>
    </row>
    <row r="68" spans="1:9" x14ac:dyDescent="0.25">
      <c r="A68" s="125" t="s">
        <v>62</v>
      </c>
      <c r="B68" s="125"/>
      <c r="C68" s="125"/>
      <c r="D68" s="125"/>
      <c r="E68" s="125"/>
      <c r="F68" s="125"/>
      <c r="G68" s="125"/>
      <c r="H68" s="125"/>
      <c r="I68" s="125"/>
    </row>
    <row r="69" spans="1:9" x14ac:dyDescent="0.25">
      <c r="A69" s="120" t="s">
        <v>66</v>
      </c>
      <c r="B69" s="120"/>
      <c r="C69" s="120"/>
      <c r="D69" s="120"/>
      <c r="E69" s="120"/>
      <c r="F69" s="120"/>
      <c r="G69" s="120"/>
      <c r="H69" s="120"/>
      <c r="I69" s="120"/>
    </row>
    <row r="70" spans="1:9" x14ac:dyDescent="0.25">
      <c r="A70" s="120" t="s">
        <v>68</v>
      </c>
      <c r="B70" s="120"/>
      <c r="C70" s="120"/>
      <c r="D70" s="120"/>
      <c r="E70" s="120"/>
      <c r="F70" s="120"/>
      <c r="G70" s="120"/>
      <c r="H70" s="120"/>
      <c r="I70" s="120"/>
    </row>
    <row r="71" spans="1:9" x14ac:dyDescent="0.25">
      <c r="A71" s="120" t="s">
        <v>65</v>
      </c>
      <c r="B71" s="120"/>
      <c r="C71" s="120"/>
      <c r="D71" s="120"/>
      <c r="E71" s="120"/>
      <c r="F71" s="120"/>
      <c r="G71" s="120"/>
      <c r="H71" s="120"/>
      <c r="I71" s="120"/>
    </row>
    <row r="72" spans="1:9" x14ac:dyDescent="0.25">
      <c r="A72" s="121"/>
      <c r="B72" s="121"/>
      <c r="C72" s="121"/>
      <c r="D72" s="121"/>
      <c r="E72" s="121"/>
      <c r="F72" s="121"/>
      <c r="G72" s="121"/>
      <c r="H72" s="121"/>
      <c r="I72" s="121"/>
    </row>
    <row r="73" spans="1:9" x14ac:dyDescent="0.25">
      <c r="A73" s="27"/>
      <c r="B73" s="26"/>
      <c r="C73" s="26"/>
      <c r="D73" s="26"/>
      <c r="E73" s="26"/>
      <c r="F73" s="26"/>
      <c r="G73" s="26"/>
      <c r="H73" s="26"/>
      <c r="I73" s="26"/>
    </row>
    <row r="74" spans="1:9" x14ac:dyDescent="0.25">
      <c r="A74" s="27"/>
      <c r="B74" s="26"/>
      <c r="C74" s="26"/>
      <c r="D74" s="26"/>
      <c r="E74" s="26"/>
      <c r="F74" s="26"/>
      <c r="G74" s="26"/>
      <c r="H74" s="26"/>
      <c r="I74" s="26"/>
    </row>
    <row r="75" spans="1:9" x14ac:dyDescent="0.25">
      <c r="A75" s="20"/>
      <c r="B75" s="20"/>
      <c r="C75" s="20"/>
      <c r="D75" s="19" t="s">
        <v>76</v>
      </c>
      <c r="E75" s="19" t="s">
        <v>77</v>
      </c>
      <c r="F75" s="19" t="s">
        <v>53</v>
      </c>
      <c r="G75" s="20"/>
      <c r="H75" s="20"/>
      <c r="I75" s="19" t="s">
        <v>78</v>
      </c>
    </row>
    <row r="76" spans="1:9" x14ac:dyDescent="0.25">
      <c r="A76" s="13"/>
      <c r="B76" s="13"/>
      <c r="C76" s="13"/>
      <c r="D76" s="7">
        <f>SUM(D7:D41)</f>
        <v>277900.99</v>
      </c>
      <c r="E76" s="7">
        <f>SUM(E7:E41)</f>
        <v>45924.47</v>
      </c>
      <c r="F76" s="7">
        <f>SUM(F7:F41)</f>
        <v>15373.300000000007</v>
      </c>
      <c r="G76" s="13"/>
      <c r="H76" s="13"/>
      <c r="I76" s="7">
        <f>SUM(I7:I41)</f>
        <v>78025.98</v>
      </c>
    </row>
    <row r="77" spans="1:9" x14ac:dyDescent="0.25">
      <c r="A77" s="13"/>
      <c r="B77" s="13"/>
      <c r="C77" s="13"/>
      <c r="D77" s="7">
        <f>SUM(D44:D63)</f>
        <v>141687.07</v>
      </c>
      <c r="E77" s="7">
        <f>SUM(E44:E63)</f>
        <v>20578.609999999997</v>
      </c>
      <c r="F77" s="7">
        <f>SUM(F44:F63)</f>
        <v>9305.7999999999993</v>
      </c>
      <c r="G77" s="13"/>
      <c r="H77" s="13"/>
      <c r="I77" s="7">
        <f>SUM(I44:I63)</f>
        <v>44199.740000000013</v>
      </c>
    </row>
    <row r="78" spans="1:9" ht="15.75" x14ac:dyDescent="0.25">
      <c r="A78" s="13"/>
      <c r="B78" s="13"/>
      <c r="C78" s="13"/>
      <c r="D78" s="23">
        <f>SUM(D76:D77)</f>
        <v>419588.06</v>
      </c>
      <c r="E78" s="23">
        <f>SUM(E76:E77)</f>
        <v>66503.08</v>
      </c>
      <c r="F78" s="23">
        <f>SUM(F76:F77)</f>
        <v>24679.100000000006</v>
      </c>
      <c r="G78" s="24"/>
      <c r="H78" s="24"/>
      <c r="I78" s="23">
        <f>SUM(I76:I77)</f>
        <v>122225.72</v>
      </c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</sheetData>
  <mergeCells count="21">
    <mergeCell ref="A1:I1"/>
    <mergeCell ref="A2:I2"/>
    <mergeCell ref="A3:I3"/>
    <mergeCell ref="A5:A6"/>
    <mergeCell ref="B5:B6"/>
    <mergeCell ref="C5:C6"/>
    <mergeCell ref="E5:E6"/>
    <mergeCell ref="F5:F6"/>
    <mergeCell ref="A42:A43"/>
    <mergeCell ref="B42:B43"/>
    <mergeCell ref="C42:C43"/>
    <mergeCell ref="E42:E43"/>
    <mergeCell ref="F42:F43"/>
    <mergeCell ref="A71:I71"/>
    <mergeCell ref="A72:I72"/>
    <mergeCell ref="A65:I65"/>
    <mergeCell ref="A66:I66"/>
    <mergeCell ref="A67:I67"/>
    <mergeCell ref="A68:I68"/>
    <mergeCell ref="A69:I69"/>
    <mergeCell ref="A70:I70"/>
  </mergeCells>
  <pageMargins left="0.25" right="0.25" top="0.75" bottom="0.75" header="0.3" footer="0.3"/>
  <pageSetup paperSize="9" scale="73" orientation="landscape" r:id="rId1"/>
  <rowBreaks count="1" manualBreakCount="1">
    <brk id="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mes</vt:lpstr>
      <vt:lpstr>13</vt:lpstr>
      <vt:lpstr>'13'!Area_de_impressao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2019-11-05T12:24:45Z</cp:lastPrinted>
  <dcterms:created xsi:type="dcterms:W3CDTF">2016-04-28T12:49:34Z</dcterms:created>
  <dcterms:modified xsi:type="dcterms:W3CDTF">2020-06-04T20:00:45Z</dcterms:modified>
</cp:coreProperties>
</file>