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7515181C-BBD6-4402-A73F-35E93A30270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6" i="6" l="1"/>
  <c r="K65" i="6"/>
  <c r="E65" i="6"/>
  <c r="B65" i="6"/>
  <c r="K63" i="6"/>
  <c r="E63" i="6"/>
  <c r="B63" i="6"/>
  <c r="B61" i="6"/>
  <c r="K59" i="6"/>
  <c r="E59" i="6"/>
  <c r="B59" i="6"/>
  <c r="B58" i="6"/>
  <c r="B55" i="6"/>
  <c r="B54" i="6"/>
  <c r="B51" i="6"/>
  <c r="K49" i="6"/>
  <c r="E49" i="6"/>
  <c r="G49" i="6"/>
  <c r="B49" i="6"/>
  <c r="K48" i="6"/>
  <c r="E48" i="6"/>
  <c r="B48" i="6"/>
  <c r="B47" i="6"/>
  <c r="K46" i="6"/>
  <c r="J46" i="6"/>
  <c r="E46" i="6"/>
  <c r="B46" i="6"/>
  <c r="K45" i="6"/>
  <c r="E45" i="6"/>
  <c r="B45" i="6"/>
  <c r="B42" i="6"/>
  <c r="B39" i="6"/>
  <c r="B38" i="6"/>
  <c r="B37" i="6"/>
  <c r="B36" i="6"/>
  <c r="B35" i="6"/>
  <c r="K34" i="6"/>
  <c r="E34" i="6"/>
  <c r="B34" i="6"/>
  <c r="B30" i="6"/>
  <c r="K29" i="6"/>
  <c r="E29" i="6"/>
  <c r="B29" i="6"/>
  <c r="B26" i="6"/>
  <c r="B23" i="6"/>
  <c r="J22" i="6"/>
  <c r="G22" i="6"/>
  <c r="F22" i="6"/>
  <c r="E22" i="6"/>
  <c r="C22" i="6"/>
  <c r="B22" i="6"/>
  <c r="B21" i="6"/>
  <c r="B20" i="6"/>
  <c r="B19" i="6"/>
  <c r="K18" i="6"/>
  <c r="E18" i="6"/>
  <c r="B18" i="6"/>
  <c r="K17" i="6"/>
  <c r="E17" i="6"/>
  <c r="B17" i="6"/>
  <c r="B16" i="6"/>
  <c r="B15" i="6"/>
  <c r="C14" i="6"/>
  <c r="B14" i="6"/>
  <c r="K13" i="6"/>
  <c r="J13" i="6"/>
  <c r="E13" i="6"/>
  <c r="B13" i="6"/>
  <c r="K12" i="6"/>
  <c r="E12" i="6"/>
  <c r="B12" i="6"/>
  <c r="K9" i="6"/>
  <c r="E9" i="6"/>
  <c r="B9" i="6"/>
  <c r="K8" i="6"/>
  <c r="E8" i="6"/>
  <c r="B8" i="6"/>
  <c r="K7" i="6"/>
  <c r="J7" i="6"/>
  <c r="E7" i="6"/>
  <c r="G7" i="6"/>
  <c r="B7" i="6"/>
  <c r="I64" i="6" l="1"/>
  <c r="L64" i="6" s="1"/>
  <c r="M64" i="6" s="1"/>
  <c r="N64" i="6" s="1"/>
  <c r="I46" i="6" l="1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I45" i="6"/>
  <c r="I16" i="6"/>
  <c r="I17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10" i="6"/>
  <c r="I11" i="6"/>
  <c r="I12" i="6"/>
  <c r="I13" i="6"/>
  <c r="I14" i="6"/>
  <c r="I15" i="6"/>
  <c r="I8" i="6"/>
  <c r="I7" i="6"/>
  <c r="L65" i="6" l="1"/>
  <c r="M65" i="6" s="1"/>
  <c r="N65" i="6" s="1"/>
  <c r="I18" i="6"/>
  <c r="I9" i="6"/>
  <c r="L10" i="6" l="1"/>
  <c r="M10" i="6" s="1"/>
  <c r="N10" i="6" s="1"/>
  <c r="L19" i="6" l="1"/>
  <c r="M19" i="6" s="1"/>
  <c r="N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<sst xmlns="http://schemas.openxmlformats.org/spreadsheetml/2006/main" count="208" uniqueCount="100">
  <si>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</si>
  <si>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</si>
  <si>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</si>
  <si>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</si>
  <si>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</si>
  <si>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</si>
  <si>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</si>
  <si>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</si>
  <si>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</si>
  <si>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</si>
  <si>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</si>
  <si>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</si>
  <si>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</si>
  <si>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</si>
  <si>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</si>
  <si>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</si>
  <si>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</si>
  <si>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</si>
  <si>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</si>
  <si>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</si>
  <si>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</si>
  <si>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</si>
  <si>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</si>
  <si>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</si>
  <si>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</si>
  <si>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</si>
  <si>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</si>
  <si>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</si>
  <si>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</si>
  <si>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</si>
  <si>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</si>
  <si>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</si>
  <si>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</si>
  <si>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</si>
  <si>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</si>
  <si>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</si>
  <si>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</si>
  <si>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</si>
  <si>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</si>
  <si>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</si>
  <si>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</si>
  <si>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</si>
  <si>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</si>
  <si>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</si>
  <si>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</si>
  <si>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</si>
  <si>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</si>
  <si>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</si>
  <si>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</si>
  <si>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</si>
  <si>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</si>
  <si>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</si>
  <si>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</si>
  <si>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</si>
  <si>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</si>
  <si>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</si>
  <si>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</si>
  <si>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</si>
  <si>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</si>
  <si>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</si>
  <si>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</si>
  <si>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</si>
  <si>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</si>
  <si>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</si>
  <si>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</si>
  <si>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</si>
  <si>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</si>
  <si>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</si>
  <si>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</si>
  <si>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</si>
  <si>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</si>
  <si>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</si>
  <si>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</si>
  <si>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</si>
  <si>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</si>
  <si>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</si>
  <si>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</si>
  <si>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</si>
  <si>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</si>
  <si>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</si>
  <si>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</si>
  <si>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</si>
  <si>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</si>
  <si>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</si>
  <si>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</si>
  <si>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</si>
  <si>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</si>
  <si>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</si>
  <si>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</si>
  <si>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</si>
  <si>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</si>
  <si>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</si>
  <si>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</si>
  <si>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</si>
  <si>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</si>
  <si>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</si>
  <si>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</si>
  <si>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</si>
  <si>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Mês: 04                Ano: 2020</t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</si>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</sst>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54" sqref="R54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ht="16.5" x14ac:dyDescent="0.25">
      <c r="A2" s="118" t="s">
        <v>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ht="4.5" customHeight="1" thickBo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ht="19.5" thickBot="1" x14ac:dyDescent="0.35">
      <c r="A4" s="35" t="s">
        <v>98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95" t="s">
        <v>58</v>
      </c>
      <c r="B5" s="97" t="s">
        <v>48</v>
      </c>
      <c r="C5" s="104" t="s">
        <v>87</v>
      </c>
      <c r="D5" s="101" t="s">
        <v>49</v>
      </c>
      <c r="E5" s="101" t="s">
        <v>88</v>
      </c>
      <c r="F5" s="64" t="s">
        <v>89</v>
      </c>
      <c r="G5" s="68" t="s">
        <v>91</v>
      </c>
      <c r="H5" s="36" t="s">
        <v>63</v>
      </c>
      <c r="I5" s="56" t="s">
        <v>50</v>
      </c>
      <c r="J5" s="101" t="s">
        <v>52</v>
      </c>
      <c r="K5" s="101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96"/>
      <c r="B6" s="98"/>
      <c r="C6" s="105"/>
      <c r="D6" s="102"/>
      <c r="E6" s="102"/>
      <c r="F6" s="67" t="s">
        <v>90</v>
      </c>
      <c r="G6" s="69" t="s">
        <v>67</v>
      </c>
      <c r="H6" s="37" t="s">
        <v>64</v>
      </c>
      <c r="I6" s="57" t="s">
        <v>51</v>
      </c>
      <c r="J6" s="102"/>
      <c r="K6" s="102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7267.59+3561.12</f>
        <v>10828.71</v>
      </c>
      <c r="C7" s="70">
        <v>2907.04</v>
      </c>
      <c r="D7" s="76"/>
      <c r="E7" s="76">
        <f>1205.95+3014.89+1477.3+1899.38+251.46</f>
        <v>7848.9800000000005</v>
      </c>
      <c r="F7" s="76"/>
      <c r="G7" s="76">
        <f>5024.81+2462.16+2009.92</f>
        <v>9496.89</v>
      </c>
      <c r="H7" s="77"/>
      <c r="I7" s="40">
        <f t="shared" ref="I7:I42" si="0">SUM(B7:H7)-G7</f>
        <v>21584.73</v>
      </c>
      <c r="J7" s="10">
        <f>2846.55+2364.6</f>
        <v>5211.1499999999996</v>
      </c>
      <c r="K7" s="10">
        <f>285.23+427.85</f>
        <v>713.08</v>
      </c>
      <c r="L7" s="4">
        <f t="shared" ref="L7:L13" si="1">I7-J7-K7-P7</f>
        <v>5579.76</v>
      </c>
      <c r="M7" s="3">
        <f>SUM(J7:L7)</f>
        <v>11503.99</v>
      </c>
      <c r="N7" s="52">
        <f>SUM(I7-M7)</f>
        <v>10080.74</v>
      </c>
      <c r="O7" s="60"/>
      <c r="P7" s="61">
        <v>10080.74</v>
      </c>
    </row>
    <row r="8" spans="1:17" x14ac:dyDescent="0.25">
      <c r="A8" s="50" t="s">
        <v>1</v>
      </c>
      <c r="B8" s="44">
        <f>4213.31+210.67</f>
        <v>4423.9800000000005</v>
      </c>
      <c r="C8" s="71"/>
      <c r="D8" s="78"/>
      <c r="E8" s="78">
        <f>815.66+40.78+285.48+37.8</f>
        <v>1179.72</v>
      </c>
      <c r="F8" s="78"/>
      <c r="G8" s="78"/>
      <c r="H8" s="79"/>
      <c r="I8" s="41">
        <f t="shared" si="0"/>
        <v>5603.7000000000007</v>
      </c>
      <c r="J8" s="11">
        <v>242.59</v>
      </c>
      <c r="K8" s="11">
        <f>556.36+87.09</f>
        <v>643.45000000000005</v>
      </c>
      <c r="L8" s="4">
        <f t="shared" si="1"/>
        <v>1100.670000000001</v>
      </c>
      <c r="M8" s="4">
        <f t="shared" ref="M8:M66" si="2">SUM(J8:L8)</f>
        <v>1986.7100000000009</v>
      </c>
      <c r="N8" s="53">
        <f t="shared" ref="N8:N66" si="3">SUM(I8-M8)</f>
        <v>3616.99</v>
      </c>
      <c r="O8" s="60"/>
      <c r="P8" s="61">
        <v>3616.99</v>
      </c>
    </row>
    <row r="9" spans="1:17" x14ac:dyDescent="0.25">
      <c r="A9" s="50" t="s">
        <v>2</v>
      </c>
      <c r="B9" s="44">
        <f>1701.07+102.06</f>
        <v>1803.1299999999999</v>
      </c>
      <c r="C9" s="71"/>
      <c r="D9" s="78"/>
      <c r="E9" s="78">
        <f>618.57+37.11+218.56</f>
        <v>874.24</v>
      </c>
      <c r="F9" s="78"/>
      <c r="G9" s="78"/>
      <c r="H9" s="79"/>
      <c r="I9" s="41">
        <f t="shared" si="0"/>
        <v>2677.37</v>
      </c>
      <c r="J9" s="11"/>
      <c r="K9" s="11">
        <f>172.6+70.31</f>
        <v>242.91</v>
      </c>
      <c r="L9" s="4">
        <f t="shared" si="1"/>
        <v>1914.95</v>
      </c>
      <c r="M9" s="4">
        <f t="shared" si="2"/>
        <v>2157.86</v>
      </c>
      <c r="N9" s="53">
        <f t="shared" si="3"/>
        <v>519.50999999999976</v>
      </c>
      <c r="O9" s="60"/>
      <c r="P9" s="61">
        <v>519.51</v>
      </c>
    </row>
    <row r="10" spans="1:17" x14ac:dyDescent="0.25">
      <c r="A10" s="50" t="s">
        <v>83</v>
      </c>
      <c r="B10" s="44">
        <v>4271.97</v>
      </c>
      <c r="C10" s="71"/>
      <c r="D10" s="78"/>
      <c r="E10" s="78"/>
      <c r="F10" s="78"/>
      <c r="G10" s="78"/>
      <c r="H10" s="79"/>
      <c r="I10" s="41">
        <f t="shared" si="0"/>
        <v>4271.97</v>
      </c>
      <c r="J10" s="11">
        <v>222.24</v>
      </c>
      <c r="K10" s="11">
        <v>457.01</v>
      </c>
      <c r="L10" s="4">
        <f t="shared" ref="L10" si="4">I10-J10-K10-P10</f>
        <v>40.890000000000327</v>
      </c>
      <c r="M10" s="4">
        <f t="shared" ref="M10" si="5">SUM(J10:L10)</f>
        <v>720.14000000000033</v>
      </c>
      <c r="N10" s="53">
        <f t="shared" ref="N10" si="6">SUM(I10-M10)</f>
        <v>3551.83</v>
      </c>
      <c r="O10" s="60"/>
      <c r="P10" s="61">
        <v>3551.83</v>
      </c>
    </row>
    <row r="11" spans="1:17" x14ac:dyDescent="0.25">
      <c r="A11" s="50" t="s">
        <v>72</v>
      </c>
      <c r="B11" s="44">
        <v>1882.88</v>
      </c>
      <c r="C11" s="71">
        <v>1000</v>
      </c>
      <c r="D11" s="78"/>
      <c r="E11" s="78"/>
      <c r="F11" s="78"/>
      <c r="G11" s="78"/>
      <c r="H11" s="79"/>
      <c r="I11" s="41">
        <f t="shared" si="0"/>
        <v>2882.88</v>
      </c>
      <c r="J11" s="11">
        <v>53.35</v>
      </c>
      <c r="K11" s="11">
        <v>267.57</v>
      </c>
      <c r="L11" s="4">
        <f t="shared" si="1"/>
        <v>93.970000000000255</v>
      </c>
      <c r="M11" s="4">
        <f t="shared" si="2"/>
        <v>414.89000000000027</v>
      </c>
      <c r="N11" s="53">
        <f t="shared" si="3"/>
        <v>2467.9899999999998</v>
      </c>
      <c r="O11" s="60"/>
      <c r="P11" s="61">
        <v>2467.9899999999998</v>
      </c>
    </row>
    <row r="12" spans="1:17" x14ac:dyDescent="0.25">
      <c r="A12" s="50" t="s">
        <v>3</v>
      </c>
      <c r="B12" s="44">
        <f>1760.04+176</f>
        <v>1936.04</v>
      </c>
      <c r="C12" s="71"/>
      <c r="D12" s="78"/>
      <c r="E12" s="78">
        <f>640.02+64+234.67</f>
        <v>938.68999999999994</v>
      </c>
      <c r="F12" s="78"/>
      <c r="G12" s="78"/>
      <c r="H12" s="79"/>
      <c r="I12" s="41">
        <f t="shared" si="0"/>
        <v>2874.73</v>
      </c>
      <c r="J12" s="11">
        <v>92.01</v>
      </c>
      <c r="K12" s="11">
        <f>172.79+93.8</f>
        <v>266.58999999999997</v>
      </c>
      <c r="L12" s="4">
        <f t="shared" si="1"/>
        <v>1574.4299999999996</v>
      </c>
      <c r="M12" s="4">
        <f t="shared" si="2"/>
        <v>1933.0299999999995</v>
      </c>
      <c r="N12" s="53">
        <f>SUM(I12-M12)+G12</f>
        <v>941.7000000000005</v>
      </c>
      <c r="O12" s="60"/>
      <c r="P12" s="61">
        <v>941.7</v>
      </c>
      <c r="Q12" s="1"/>
    </row>
    <row r="13" spans="1:17" x14ac:dyDescent="0.25">
      <c r="A13" s="50" t="s">
        <v>4</v>
      </c>
      <c r="B13" s="44">
        <f>2139.54+492.1</f>
        <v>2631.64</v>
      </c>
      <c r="C13" s="71"/>
      <c r="D13" s="78"/>
      <c r="E13" s="78">
        <f>778.02+178.94+318.99</f>
        <v>1275.95</v>
      </c>
      <c r="F13" s="78"/>
      <c r="G13" s="78"/>
      <c r="H13" s="79"/>
      <c r="I13" s="41">
        <f t="shared" si="0"/>
        <v>3907.59</v>
      </c>
      <c r="J13" s="11">
        <f>20.48+278.81</f>
        <v>299.29000000000002</v>
      </c>
      <c r="K13" s="11">
        <f>264.98+141.02</f>
        <v>406</v>
      </c>
      <c r="L13" s="4">
        <f t="shared" si="1"/>
        <v>1851.16</v>
      </c>
      <c r="M13" s="4">
        <f t="shared" si="2"/>
        <v>2556.4499999999998</v>
      </c>
      <c r="N13" s="53">
        <f t="shared" si="3"/>
        <v>1351.1400000000003</v>
      </c>
      <c r="O13" s="60"/>
      <c r="P13" s="61">
        <v>1351.14</v>
      </c>
    </row>
    <row r="14" spans="1:17" x14ac:dyDescent="0.25">
      <c r="A14" s="50" t="s">
        <v>5</v>
      </c>
      <c r="B14" s="44">
        <f>11980.55+5930.37</f>
        <v>17910.919999999998</v>
      </c>
      <c r="C14" s="71">
        <f>4792.22+1198.06</f>
        <v>5990.2800000000007</v>
      </c>
      <c r="D14" s="78"/>
      <c r="E14" s="78"/>
      <c r="F14" s="78"/>
      <c r="G14" s="78"/>
      <c r="H14" s="79"/>
      <c r="I14" s="41">
        <f t="shared" si="0"/>
        <v>23901.199999999997</v>
      </c>
      <c r="J14" s="11">
        <v>5507.37</v>
      </c>
      <c r="K14" s="11">
        <v>713.08</v>
      </c>
      <c r="L14" s="4">
        <f>I14-J14-K14-P14</f>
        <v>104.31999999999607</v>
      </c>
      <c r="M14" s="4">
        <f t="shared" si="2"/>
        <v>6324.7699999999959</v>
      </c>
      <c r="N14" s="53">
        <f t="shared" si="3"/>
        <v>17576.43</v>
      </c>
      <c r="O14" s="60"/>
      <c r="P14" s="61">
        <v>17576.43</v>
      </c>
    </row>
    <row r="15" spans="1:17" x14ac:dyDescent="0.25">
      <c r="A15" s="50" t="s">
        <v>6</v>
      </c>
      <c r="B15" s="44">
        <f>10370.38+3484.45</f>
        <v>13854.829999999998</v>
      </c>
      <c r="C15" s="71">
        <v>2074.08</v>
      </c>
      <c r="D15" s="78"/>
      <c r="E15" s="78"/>
      <c r="F15" s="78"/>
      <c r="G15" s="78"/>
      <c r="H15" s="79"/>
      <c r="I15" s="41">
        <f t="shared" si="0"/>
        <v>15928.909999999998</v>
      </c>
      <c r="J15" s="11">
        <v>3262.86</v>
      </c>
      <c r="K15" s="11">
        <v>713.08</v>
      </c>
      <c r="L15" s="4">
        <f t="shared" ref="L15:L42" si="7">I15-J15-K15-P15</f>
        <v>232.29999999999745</v>
      </c>
      <c r="M15" s="4">
        <f t="shared" si="2"/>
        <v>4208.239999999998</v>
      </c>
      <c r="N15" s="53">
        <f t="shared" si="3"/>
        <v>11720.67</v>
      </c>
      <c r="O15" s="60"/>
      <c r="P15" s="61">
        <v>11720.67</v>
      </c>
    </row>
    <row r="16" spans="1:17" x14ac:dyDescent="0.25">
      <c r="A16" s="50" t="s">
        <v>7</v>
      </c>
      <c r="B16" s="44">
        <f>11980.55+3522.28</f>
        <v>15502.83</v>
      </c>
      <c r="C16" s="71">
        <v>4792.22</v>
      </c>
      <c r="D16" s="78"/>
      <c r="E16" s="78"/>
      <c r="F16" s="78"/>
      <c r="G16" s="78"/>
      <c r="H16" s="79"/>
      <c r="I16" s="41">
        <f t="shared" si="0"/>
        <v>20295.05</v>
      </c>
      <c r="J16" s="11">
        <v>4515.68</v>
      </c>
      <c r="K16" s="11">
        <v>713.08</v>
      </c>
      <c r="L16" s="4">
        <f t="shared" si="7"/>
        <v>106.57999999999993</v>
      </c>
      <c r="M16" s="4">
        <f t="shared" si="2"/>
        <v>5335.34</v>
      </c>
      <c r="N16" s="53">
        <f t="shared" si="3"/>
        <v>14959.71</v>
      </c>
      <c r="O16" s="60"/>
      <c r="P16" s="61">
        <v>14959.71</v>
      </c>
    </row>
    <row r="17" spans="1:16" x14ac:dyDescent="0.25">
      <c r="A17" s="50" t="s">
        <v>8</v>
      </c>
      <c r="B17" s="44">
        <f>833.86+58.37</f>
        <v>892.23</v>
      </c>
      <c r="C17" s="71"/>
      <c r="D17" s="78"/>
      <c r="E17" s="78">
        <f>1413.58+98.95+504.18+38.12</f>
        <v>2054.83</v>
      </c>
      <c r="F17" s="78"/>
      <c r="G17" s="78"/>
      <c r="H17" s="79"/>
      <c r="I17" s="41">
        <f t="shared" si="0"/>
        <v>2947.06</v>
      </c>
      <c r="J17" s="11">
        <v>39.01</v>
      </c>
      <c r="K17" s="11">
        <f>99.58+175.69</f>
        <v>275.27</v>
      </c>
      <c r="L17" s="4">
        <f t="shared" si="7"/>
        <v>1818.9699999999998</v>
      </c>
      <c r="M17" s="4">
        <f t="shared" si="2"/>
        <v>2133.25</v>
      </c>
      <c r="N17" s="53">
        <f t="shared" si="3"/>
        <v>813.81</v>
      </c>
      <c r="O17" s="60"/>
      <c r="P17" s="61">
        <v>813.81</v>
      </c>
    </row>
    <row r="18" spans="1:16" x14ac:dyDescent="0.25">
      <c r="A18" s="50" t="s">
        <v>9</v>
      </c>
      <c r="B18" s="44">
        <f>1306.37+326.59</f>
        <v>1632.9599999999998</v>
      </c>
      <c r="C18" s="71"/>
      <c r="D18" s="78"/>
      <c r="E18" s="78">
        <f>475.05+118.76+197.94</f>
        <v>791.75</v>
      </c>
      <c r="F18" s="78"/>
      <c r="G18" s="78"/>
      <c r="H18" s="79"/>
      <c r="I18" s="41">
        <f t="shared" si="0"/>
        <v>2424.71</v>
      </c>
      <c r="J18" s="11">
        <v>59.03</v>
      </c>
      <c r="K18" s="11">
        <f>138.48+74.11</f>
        <v>212.58999999999997</v>
      </c>
      <c r="L18" s="4">
        <f t="shared" si="7"/>
        <v>673.17999999999961</v>
      </c>
      <c r="M18" s="4">
        <f t="shared" si="2"/>
        <v>944.79999999999961</v>
      </c>
      <c r="N18" s="53">
        <f t="shared" si="3"/>
        <v>1479.9100000000003</v>
      </c>
      <c r="O18" s="60"/>
      <c r="P18" s="61">
        <v>1479.91</v>
      </c>
    </row>
    <row r="19" spans="1:16" x14ac:dyDescent="0.25">
      <c r="A19" s="50" t="s">
        <v>82</v>
      </c>
      <c r="B19" s="44">
        <f>2669.57+26.7</f>
        <v>2696.27</v>
      </c>
      <c r="C19" s="71"/>
      <c r="D19" s="78"/>
      <c r="E19" s="78"/>
      <c r="F19" s="78"/>
      <c r="G19" s="78"/>
      <c r="H19" s="79"/>
      <c r="I19" s="41">
        <f t="shared" si="0"/>
        <v>2696.27</v>
      </c>
      <c r="J19" s="11">
        <v>26.81</v>
      </c>
      <c r="K19" s="11">
        <v>245.18</v>
      </c>
      <c r="L19" s="4">
        <f t="shared" si="7"/>
        <v>241.67000000000007</v>
      </c>
      <c r="M19" s="4">
        <f t="shared" si="2"/>
        <v>513.66000000000008</v>
      </c>
      <c r="N19" s="53">
        <f t="shared" si="3"/>
        <v>2182.6099999999997</v>
      </c>
      <c r="O19" s="60"/>
      <c r="P19" s="61">
        <v>2182.61</v>
      </c>
    </row>
    <row r="20" spans="1:16" x14ac:dyDescent="0.25">
      <c r="A20" s="50" t="s">
        <v>10</v>
      </c>
      <c r="B20" s="44">
        <f>5026.06+784.07</f>
        <v>5810.13</v>
      </c>
      <c r="C20" s="71">
        <v>1005.21</v>
      </c>
      <c r="D20" s="78"/>
      <c r="E20" s="78"/>
      <c r="F20" s="78"/>
      <c r="G20" s="78"/>
      <c r="H20" s="79"/>
      <c r="I20" s="41">
        <f t="shared" si="0"/>
        <v>6815.34</v>
      </c>
      <c r="J20" s="11">
        <v>704.49</v>
      </c>
      <c r="K20" s="11">
        <v>713.08</v>
      </c>
      <c r="L20" s="4">
        <f t="shared" si="7"/>
        <v>369.16000000000076</v>
      </c>
      <c r="M20" s="4">
        <f t="shared" si="2"/>
        <v>1786.7300000000009</v>
      </c>
      <c r="N20" s="53">
        <f t="shared" si="3"/>
        <v>5028.6099999999988</v>
      </c>
      <c r="O20" s="60"/>
      <c r="P20" s="61">
        <v>5028.6099999999997</v>
      </c>
    </row>
    <row r="21" spans="1:16" x14ac:dyDescent="0.25">
      <c r="A21" s="50" t="s">
        <v>11</v>
      </c>
      <c r="B21" s="44">
        <f>2274.15+181.93</f>
        <v>2456.08</v>
      </c>
      <c r="C21" s="71"/>
      <c r="D21" s="78"/>
      <c r="E21" s="78"/>
      <c r="F21" s="78"/>
      <c r="G21" s="78"/>
      <c r="H21" s="79"/>
      <c r="I21" s="41">
        <f t="shared" si="0"/>
        <v>2456.08</v>
      </c>
      <c r="J21" s="11">
        <v>25.18</v>
      </c>
      <c r="K21" s="11">
        <v>216.35</v>
      </c>
      <c r="L21" s="4">
        <f t="shared" si="7"/>
        <v>5.9500000000002728</v>
      </c>
      <c r="M21" s="4">
        <f t="shared" si="2"/>
        <v>247.48000000000027</v>
      </c>
      <c r="N21" s="53">
        <f t="shared" si="3"/>
        <v>2208.5999999999995</v>
      </c>
      <c r="O21" s="60"/>
      <c r="P21" s="61">
        <v>2208.6</v>
      </c>
    </row>
    <row r="22" spans="1:16" x14ac:dyDescent="0.25">
      <c r="A22" s="50" t="s">
        <v>12</v>
      </c>
      <c r="B22" s="44">
        <f>4404.01+2380.37</f>
        <v>6784.38</v>
      </c>
      <c r="C22" s="71">
        <f>5945.41</f>
        <v>5945.41</v>
      </c>
      <c r="D22" s="78"/>
      <c r="E22" s="78">
        <f>11509.84+8525.81+4608.2+8214.61+1087.6</f>
        <v>33946.060000000005</v>
      </c>
      <c r="F22" s="78">
        <f>5754.92+4262.9+2304.1+4107.3+543.83</f>
        <v>16973.050000000003</v>
      </c>
      <c r="G22" s="78">
        <f>6394.36+3456.15+8632.39</f>
        <v>18482.900000000001</v>
      </c>
      <c r="H22" s="79"/>
      <c r="I22" s="41">
        <f t="shared" si="0"/>
        <v>63648.900000000016</v>
      </c>
      <c r="J22" s="11">
        <f>2930.42+7970.62</f>
        <v>10901.04</v>
      </c>
      <c r="K22" s="11">
        <v>713.08</v>
      </c>
      <c r="L22" s="4">
        <f t="shared" si="7"/>
        <v>40865.880000000012</v>
      </c>
      <c r="M22" s="4">
        <f t="shared" si="2"/>
        <v>52480.000000000015</v>
      </c>
      <c r="N22" s="53">
        <f t="shared" si="3"/>
        <v>11168.900000000001</v>
      </c>
      <c r="O22" s="60"/>
      <c r="P22" s="61">
        <v>11168.9</v>
      </c>
    </row>
    <row r="23" spans="1:16" x14ac:dyDescent="0.25">
      <c r="A23" s="50" t="s">
        <v>13</v>
      </c>
      <c r="B23" s="44">
        <f>11980.55+3737.93</f>
        <v>15718.48</v>
      </c>
      <c r="C23" s="71">
        <v>2396.11</v>
      </c>
      <c r="D23" s="78"/>
      <c r="E23" s="78"/>
      <c r="F23" s="78"/>
      <c r="G23" s="78"/>
      <c r="H23" s="79"/>
      <c r="I23" s="41">
        <f t="shared" si="0"/>
        <v>18114.59</v>
      </c>
      <c r="J23" s="11">
        <v>3863.92</v>
      </c>
      <c r="K23" s="11">
        <v>713.08</v>
      </c>
      <c r="L23" s="4">
        <f t="shared" si="7"/>
        <v>2144.83</v>
      </c>
      <c r="M23" s="4">
        <f t="shared" si="2"/>
        <v>6721.83</v>
      </c>
      <c r="N23" s="53">
        <f t="shared" si="3"/>
        <v>11392.76</v>
      </c>
      <c r="O23" s="60"/>
      <c r="P23" s="61">
        <v>11392.76</v>
      </c>
    </row>
    <row r="24" spans="1:16" x14ac:dyDescent="0.25">
      <c r="A24" s="50" t="s">
        <v>14</v>
      </c>
      <c r="B24" s="44">
        <v>6364.31</v>
      </c>
      <c r="C24" s="71"/>
      <c r="D24" s="78"/>
      <c r="E24" s="78"/>
      <c r="F24" s="78"/>
      <c r="G24" s="78"/>
      <c r="H24" s="79"/>
      <c r="I24" s="41">
        <f t="shared" si="0"/>
        <v>6364.31</v>
      </c>
      <c r="J24" s="11">
        <v>580.45000000000005</v>
      </c>
      <c r="K24" s="11">
        <v>713.08</v>
      </c>
      <c r="L24" s="4">
        <f t="shared" si="7"/>
        <v>1281.2200000000007</v>
      </c>
      <c r="M24" s="4">
        <f t="shared" si="2"/>
        <v>2574.7500000000009</v>
      </c>
      <c r="N24" s="53">
        <f t="shared" si="3"/>
        <v>3789.5599999999995</v>
      </c>
      <c r="O24" s="60"/>
      <c r="P24" s="61">
        <v>3789.56</v>
      </c>
    </row>
    <row r="25" spans="1:16" x14ac:dyDescent="0.25">
      <c r="A25" s="50" t="s">
        <v>69</v>
      </c>
      <c r="B25" s="44">
        <v>2832.98</v>
      </c>
      <c r="C25" s="71"/>
      <c r="D25" s="78"/>
      <c r="E25" s="78"/>
      <c r="F25" s="78"/>
      <c r="G25" s="78"/>
      <c r="H25" s="79"/>
      <c r="I25" s="41">
        <f t="shared" si="0"/>
        <v>2832.98</v>
      </c>
      <c r="J25" s="11">
        <v>50.05</v>
      </c>
      <c r="K25" s="11">
        <v>261.58</v>
      </c>
      <c r="L25" s="4">
        <f t="shared" si="7"/>
        <v>101.80999999999995</v>
      </c>
      <c r="M25" s="4">
        <f t="shared" si="2"/>
        <v>413.43999999999994</v>
      </c>
      <c r="N25" s="53">
        <f t="shared" si="3"/>
        <v>2419.54</v>
      </c>
      <c r="O25" s="60"/>
      <c r="P25" s="61">
        <v>2419.54</v>
      </c>
    </row>
    <row r="26" spans="1:16" x14ac:dyDescent="0.25">
      <c r="A26" s="50" t="s">
        <v>15</v>
      </c>
      <c r="B26" s="44">
        <f>11980.55+3737.93</f>
        <v>15718.48</v>
      </c>
      <c r="C26" s="71">
        <v>2396.11</v>
      </c>
      <c r="D26" s="78"/>
      <c r="E26" s="78"/>
      <c r="F26" s="78"/>
      <c r="G26" s="78"/>
      <c r="H26" s="79"/>
      <c r="I26" s="41">
        <f t="shared" si="0"/>
        <v>18114.59</v>
      </c>
      <c r="J26" s="11">
        <v>3863.92</v>
      </c>
      <c r="K26" s="11">
        <v>713.08</v>
      </c>
      <c r="L26" s="4">
        <f t="shared" si="7"/>
        <v>4327.0400000000009</v>
      </c>
      <c r="M26" s="4">
        <f t="shared" si="2"/>
        <v>8904.0400000000009</v>
      </c>
      <c r="N26" s="53">
        <f t="shared" si="3"/>
        <v>9210.5499999999993</v>
      </c>
      <c r="O26" s="60"/>
      <c r="P26" s="61">
        <v>9210.5499999999993</v>
      </c>
    </row>
    <row r="27" spans="1:16" x14ac:dyDescent="0.25">
      <c r="A27" s="50" t="s">
        <v>16</v>
      </c>
      <c r="B27" s="44">
        <v>6729.48</v>
      </c>
      <c r="C27" s="71"/>
      <c r="D27" s="78"/>
      <c r="E27" s="78"/>
      <c r="F27" s="78"/>
      <c r="G27" s="78"/>
      <c r="H27" s="79"/>
      <c r="I27" s="41">
        <f t="shared" si="0"/>
        <v>6729.48</v>
      </c>
      <c r="J27" s="11">
        <v>680.88</v>
      </c>
      <c r="K27" s="11">
        <v>713.08</v>
      </c>
      <c r="L27" s="4">
        <f t="shared" si="7"/>
        <v>5.9499999999998181</v>
      </c>
      <c r="M27" s="4">
        <f t="shared" si="2"/>
        <v>1399.9099999999999</v>
      </c>
      <c r="N27" s="53">
        <f>SUM(I27-M27)+G27</f>
        <v>5329.57</v>
      </c>
      <c r="O27" s="60"/>
      <c r="P27" s="61">
        <v>5329.57</v>
      </c>
    </row>
    <row r="28" spans="1:16" x14ac:dyDescent="0.25">
      <c r="A28" s="50" t="s">
        <v>17</v>
      </c>
      <c r="B28" s="44">
        <v>7426.39</v>
      </c>
      <c r="C28" s="71"/>
      <c r="D28" s="78"/>
      <c r="E28" s="78"/>
      <c r="F28" s="78"/>
      <c r="G28" s="78"/>
      <c r="H28" s="79"/>
      <c r="I28" s="41">
        <f t="shared" si="0"/>
        <v>7426.39</v>
      </c>
      <c r="J28" s="11">
        <v>976.8</v>
      </c>
      <c r="K28" s="11">
        <v>713.08</v>
      </c>
      <c r="L28" s="4">
        <f t="shared" si="7"/>
        <v>5.9499999999998181</v>
      </c>
      <c r="M28" s="4">
        <f t="shared" si="2"/>
        <v>1695.83</v>
      </c>
      <c r="N28" s="53">
        <f t="shared" si="3"/>
        <v>5730.56</v>
      </c>
      <c r="O28" s="60"/>
      <c r="P28" s="61">
        <v>5730.56</v>
      </c>
    </row>
    <row r="29" spans="1:16" x14ac:dyDescent="0.25">
      <c r="A29" s="50" t="s">
        <v>18</v>
      </c>
      <c r="B29" s="45">
        <f>1604.18+128.33</f>
        <v>1732.51</v>
      </c>
      <c r="C29" s="72"/>
      <c r="D29" s="78"/>
      <c r="E29" s="78">
        <f>583.34+46.67+210</f>
        <v>840.01</v>
      </c>
      <c r="F29" s="78"/>
      <c r="G29" s="78"/>
      <c r="H29" s="79"/>
      <c r="I29" s="41">
        <f t="shared" si="0"/>
        <v>2572.52</v>
      </c>
      <c r="J29" s="11">
        <v>72.709999999999994</v>
      </c>
      <c r="K29" s="11">
        <f>150.35+79.98</f>
        <v>230.32999999999998</v>
      </c>
      <c r="L29" s="4">
        <f t="shared" si="7"/>
        <v>725.27</v>
      </c>
      <c r="M29" s="4">
        <f t="shared" si="2"/>
        <v>1028.31</v>
      </c>
      <c r="N29" s="53">
        <f t="shared" si="3"/>
        <v>1544.21</v>
      </c>
      <c r="O29" s="60"/>
      <c r="P29" s="61">
        <v>1544.21</v>
      </c>
    </row>
    <row r="30" spans="1:16" x14ac:dyDescent="0.25">
      <c r="A30" s="50" t="s">
        <v>19</v>
      </c>
      <c r="B30" s="44">
        <f>4294.59+1058.92</f>
        <v>5353.51</v>
      </c>
      <c r="C30" s="71">
        <v>1000</v>
      </c>
      <c r="D30" s="78"/>
      <c r="E30" s="78"/>
      <c r="F30" s="78"/>
      <c r="G30" s="78"/>
      <c r="H30" s="79"/>
      <c r="I30" s="41">
        <f t="shared" si="0"/>
        <v>6353.51</v>
      </c>
      <c r="J30" s="11">
        <v>577.48</v>
      </c>
      <c r="K30" s="11">
        <v>713.08</v>
      </c>
      <c r="L30" s="4">
        <f t="shared" si="7"/>
        <v>1111.2000000000007</v>
      </c>
      <c r="M30" s="4">
        <f t="shared" si="2"/>
        <v>2401.7600000000007</v>
      </c>
      <c r="N30" s="53">
        <f t="shared" si="3"/>
        <v>3951.7499999999995</v>
      </c>
      <c r="O30" s="60"/>
      <c r="P30" s="61">
        <v>3951.75</v>
      </c>
    </row>
    <row r="31" spans="1:16" x14ac:dyDescent="0.25">
      <c r="A31" s="50" t="s">
        <v>20</v>
      </c>
      <c r="B31" s="44">
        <v>6172.48</v>
      </c>
      <c r="C31" s="71"/>
      <c r="D31" s="78"/>
      <c r="E31" s="78"/>
      <c r="F31" s="78"/>
      <c r="G31" s="78"/>
      <c r="H31" s="79"/>
      <c r="I31" s="41">
        <f t="shared" si="0"/>
        <v>6172.48</v>
      </c>
      <c r="J31" s="11">
        <v>631.97</v>
      </c>
      <c r="K31" s="11">
        <v>713.08</v>
      </c>
      <c r="L31" s="4">
        <f t="shared" si="7"/>
        <v>215.44999999999982</v>
      </c>
      <c r="M31" s="4">
        <f t="shared" si="2"/>
        <v>1560.5</v>
      </c>
      <c r="N31" s="53">
        <f t="shared" si="3"/>
        <v>4611.9799999999996</v>
      </c>
      <c r="O31" s="60"/>
      <c r="P31" s="61">
        <v>4611.9799999999996</v>
      </c>
    </row>
    <row r="32" spans="1:16" x14ac:dyDescent="0.25">
      <c r="A32" s="50" t="s">
        <v>21</v>
      </c>
      <c r="B32" s="44">
        <v>7251.58</v>
      </c>
      <c r="C32" s="71"/>
      <c r="D32" s="78"/>
      <c r="E32" s="78"/>
      <c r="F32" s="78"/>
      <c r="G32" s="78"/>
      <c r="H32" s="79"/>
      <c r="I32" s="41">
        <f t="shared" si="0"/>
        <v>7251.58</v>
      </c>
      <c r="J32" s="11">
        <v>928.73</v>
      </c>
      <c r="K32" s="11">
        <v>713.08</v>
      </c>
      <c r="L32" s="4">
        <f t="shared" si="7"/>
        <v>1381</v>
      </c>
      <c r="M32" s="4">
        <f t="shared" si="2"/>
        <v>3022.81</v>
      </c>
      <c r="N32" s="53">
        <f t="shared" si="3"/>
        <v>4228.7700000000004</v>
      </c>
      <c r="O32" s="60"/>
      <c r="P32" s="61">
        <v>4228.7700000000004</v>
      </c>
    </row>
    <row r="33" spans="1:16" x14ac:dyDescent="0.25">
      <c r="A33" s="50" t="s">
        <v>74</v>
      </c>
      <c r="B33" s="44">
        <v>4485.66</v>
      </c>
      <c r="C33" s="71"/>
      <c r="D33" s="78"/>
      <c r="E33" s="78"/>
      <c r="F33" s="78"/>
      <c r="G33" s="78"/>
      <c r="H33" s="79"/>
      <c r="I33" s="41">
        <f t="shared" si="0"/>
        <v>4485.66</v>
      </c>
      <c r="J33" s="11">
        <v>263.58</v>
      </c>
      <c r="K33" s="11">
        <v>486.93</v>
      </c>
      <c r="L33" s="4">
        <f t="shared" ref="L33" si="8">I33-J33-K33-P33</f>
        <v>40.889999999999873</v>
      </c>
      <c r="M33" s="4">
        <f t="shared" ref="M33" si="9">SUM(J33:L33)</f>
        <v>791.39999999999986</v>
      </c>
      <c r="N33" s="53">
        <f>SUM(I33-M33)+G33</f>
        <v>3694.26</v>
      </c>
      <c r="O33" s="60"/>
      <c r="P33" s="61">
        <v>3694.26</v>
      </c>
    </row>
    <row r="34" spans="1:16" x14ac:dyDescent="0.25">
      <c r="A34" s="50" t="s">
        <v>22</v>
      </c>
      <c r="B34" s="44">
        <f>1260.77+252.15</f>
        <v>1512.92</v>
      </c>
      <c r="C34" s="71"/>
      <c r="D34" s="78"/>
      <c r="E34" s="78">
        <f>458.46+91.69+183.38</f>
        <v>733.53</v>
      </c>
      <c r="F34" s="78"/>
      <c r="G34" s="78"/>
      <c r="H34" s="79"/>
      <c r="I34" s="41">
        <f t="shared" si="0"/>
        <v>2246.4499999999998</v>
      </c>
      <c r="J34" s="11">
        <v>44.63</v>
      </c>
      <c r="K34" s="11">
        <f>124.07+67.13</f>
        <v>191.2</v>
      </c>
      <c r="L34" s="4">
        <f t="shared" si="7"/>
        <v>627.71999999999957</v>
      </c>
      <c r="M34" s="4">
        <f t="shared" si="2"/>
        <v>863.5499999999995</v>
      </c>
      <c r="N34" s="53">
        <f>SUM(I34-M34)+G34</f>
        <v>1382.9000000000003</v>
      </c>
      <c r="O34" s="60"/>
      <c r="P34" s="61">
        <v>1382.9</v>
      </c>
    </row>
    <row r="35" spans="1:16" x14ac:dyDescent="0.25">
      <c r="A35" s="50" t="s">
        <v>23</v>
      </c>
      <c r="B35" s="44">
        <f>5021.09+662.78</f>
        <v>5683.87</v>
      </c>
      <c r="C35" s="71">
        <v>1004.22</v>
      </c>
      <c r="D35" s="78"/>
      <c r="E35" s="78"/>
      <c r="F35" s="78"/>
      <c r="G35" s="78"/>
      <c r="H35" s="79"/>
      <c r="I35" s="41">
        <f t="shared" si="0"/>
        <v>6688.09</v>
      </c>
      <c r="J35" s="11">
        <v>773.77</v>
      </c>
      <c r="K35" s="11">
        <v>713.08</v>
      </c>
      <c r="L35" s="4">
        <f t="shared" si="7"/>
        <v>421.61999999999989</v>
      </c>
      <c r="M35" s="4">
        <f t="shared" si="2"/>
        <v>1908.4699999999998</v>
      </c>
      <c r="N35" s="53">
        <f t="shared" si="3"/>
        <v>4779.6200000000008</v>
      </c>
      <c r="O35" s="60"/>
      <c r="P35" s="61">
        <v>4779.62</v>
      </c>
    </row>
    <row r="36" spans="1:16" x14ac:dyDescent="0.25">
      <c r="A36" s="50" t="s">
        <v>24</v>
      </c>
      <c r="B36" s="44">
        <f>11980.55+3737.93</f>
        <v>15718.48</v>
      </c>
      <c r="C36" s="71">
        <v>2396.11</v>
      </c>
      <c r="D36" s="78"/>
      <c r="E36" s="78"/>
      <c r="F36" s="78"/>
      <c r="G36" s="78"/>
      <c r="H36" s="79"/>
      <c r="I36" s="41">
        <f t="shared" si="0"/>
        <v>18114.59</v>
      </c>
      <c r="J36" s="11">
        <v>2863.92</v>
      </c>
      <c r="K36" s="11">
        <v>713.08</v>
      </c>
      <c r="L36" s="4">
        <f t="shared" si="7"/>
        <v>1521.3500000000004</v>
      </c>
      <c r="M36" s="4">
        <f t="shared" si="2"/>
        <v>5098.3500000000004</v>
      </c>
      <c r="N36" s="53">
        <f>SUM(I36-M36)+G36</f>
        <v>13016.24</v>
      </c>
      <c r="O36" s="60"/>
      <c r="P36" s="61">
        <v>13016.24</v>
      </c>
    </row>
    <row r="37" spans="1:16" x14ac:dyDescent="0.25">
      <c r="A37" s="50" t="s">
        <v>25</v>
      </c>
      <c r="B37" s="44">
        <f>11980.55+3306.63</f>
        <v>15287.18</v>
      </c>
      <c r="C37" s="71">
        <v>2396.11</v>
      </c>
      <c r="D37" s="78"/>
      <c r="E37" s="78"/>
      <c r="F37" s="78"/>
      <c r="G37" s="78"/>
      <c r="H37" s="79"/>
      <c r="I37" s="41">
        <f t="shared" si="0"/>
        <v>17683.29</v>
      </c>
      <c r="J37" s="11">
        <v>3745.31</v>
      </c>
      <c r="K37" s="11">
        <v>713.08</v>
      </c>
      <c r="L37" s="4">
        <f t="shared" si="7"/>
        <v>8760.5600000000013</v>
      </c>
      <c r="M37" s="4">
        <f t="shared" si="2"/>
        <v>13218.95</v>
      </c>
      <c r="N37" s="53">
        <f t="shared" si="3"/>
        <v>4464.34</v>
      </c>
      <c r="O37" s="60"/>
      <c r="P37" s="61">
        <v>4464.34</v>
      </c>
    </row>
    <row r="38" spans="1:16" x14ac:dyDescent="0.25">
      <c r="A38" s="50" t="s">
        <v>75</v>
      </c>
      <c r="B38" s="44">
        <f>4927.52+591.3</f>
        <v>5518.8200000000006</v>
      </c>
      <c r="C38" s="71">
        <v>985.5</v>
      </c>
      <c r="D38" s="78"/>
      <c r="E38" s="78"/>
      <c r="F38" s="78"/>
      <c r="G38" s="78"/>
      <c r="H38" s="79"/>
      <c r="I38" s="41">
        <f t="shared" si="0"/>
        <v>6504.3200000000006</v>
      </c>
      <c r="J38" s="11">
        <v>723.23</v>
      </c>
      <c r="K38" s="11">
        <v>713.08</v>
      </c>
      <c r="L38" s="4">
        <f t="shared" si="7"/>
        <v>191.61999999999989</v>
      </c>
      <c r="M38" s="4">
        <f t="shared" si="2"/>
        <v>1627.9299999999998</v>
      </c>
      <c r="N38" s="53">
        <f t="shared" si="3"/>
        <v>4876.3900000000012</v>
      </c>
      <c r="O38" s="60"/>
      <c r="P38" s="61">
        <v>4876.3900000000003</v>
      </c>
    </row>
    <row r="39" spans="1:16" x14ac:dyDescent="0.25">
      <c r="A39" s="50" t="s">
        <v>26</v>
      </c>
      <c r="B39" s="44">
        <f>4657.65+335.35</f>
        <v>4993</v>
      </c>
      <c r="C39" s="71">
        <v>931.53</v>
      </c>
      <c r="D39" s="78"/>
      <c r="E39" s="78"/>
      <c r="F39" s="78"/>
      <c r="G39" s="78"/>
      <c r="H39" s="79"/>
      <c r="I39" s="41">
        <f t="shared" si="0"/>
        <v>5924.53</v>
      </c>
      <c r="J39" s="11">
        <v>466.31</v>
      </c>
      <c r="K39" s="11">
        <v>688.37</v>
      </c>
      <c r="L39" s="4">
        <f t="shared" si="7"/>
        <v>1408.0699999999993</v>
      </c>
      <c r="M39" s="4">
        <f t="shared" si="2"/>
        <v>2562.7499999999991</v>
      </c>
      <c r="N39" s="53">
        <f>SUM(I39-M39)+G39</f>
        <v>3361.7800000000007</v>
      </c>
      <c r="O39" s="60"/>
      <c r="P39" s="61">
        <v>3361.78</v>
      </c>
    </row>
    <row r="40" spans="1:16" x14ac:dyDescent="0.25">
      <c r="A40" s="50" t="s">
        <v>71</v>
      </c>
      <c r="B40" s="44">
        <v>1862.88</v>
      </c>
      <c r="C40" s="71"/>
      <c r="D40" s="78"/>
      <c r="E40" s="78"/>
      <c r="F40" s="78"/>
      <c r="G40" s="78"/>
      <c r="H40" s="79"/>
      <c r="I40" s="41">
        <f t="shared" si="0"/>
        <v>1862.88</v>
      </c>
      <c r="J40" s="11"/>
      <c r="K40" s="11">
        <v>151.97</v>
      </c>
      <c r="L40" s="4">
        <f t="shared" ref="L40" si="10">I40-J40-K40-P40</f>
        <v>14.790000000000191</v>
      </c>
      <c r="M40" s="4">
        <f t="shared" ref="M40" si="11">SUM(J40:L40)</f>
        <v>166.76000000000019</v>
      </c>
      <c r="N40" s="53">
        <f t="shared" ref="N40" si="12">SUM(I40-M40)</f>
        <v>1696.12</v>
      </c>
      <c r="O40" s="60"/>
      <c r="P40" s="61">
        <v>1696.12</v>
      </c>
    </row>
    <row r="41" spans="1:16" x14ac:dyDescent="0.25">
      <c r="A41" s="50" t="s">
        <v>27</v>
      </c>
      <c r="B41" s="44">
        <v>2988.35</v>
      </c>
      <c r="C41" s="71"/>
      <c r="D41" s="78"/>
      <c r="E41" s="78"/>
      <c r="F41" s="78"/>
      <c r="G41" s="78"/>
      <c r="H41" s="79"/>
      <c r="I41" s="41">
        <f t="shared" si="0"/>
        <v>2988.35</v>
      </c>
      <c r="J41" s="11">
        <v>60.31</v>
      </c>
      <c r="K41" s="11">
        <v>280.23</v>
      </c>
      <c r="L41" s="4">
        <f t="shared" si="7"/>
        <v>825.34999999999991</v>
      </c>
      <c r="M41" s="4">
        <f t="shared" si="2"/>
        <v>1165.8899999999999</v>
      </c>
      <c r="N41" s="53">
        <f t="shared" si="3"/>
        <v>1822.46</v>
      </c>
      <c r="O41" s="60"/>
      <c r="P41" s="61">
        <v>1822.46</v>
      </c>
    </row>
    <row r="42" spans="1:16" ht="15.75" thickBot="1" x14ac:dyDescent="0.3">
      <c r="A42" s="50" t="s">
        <v>28</v>
      </c>
      <c r="B42" s="46">
        <f>11980.55+3594.17</f>
        <v>15574.72</v>
      </c>
      <c r="C42" s="73">
        <v>2396.11</v>
      </c>
      <c r="D42" s="78"/>
      <c r="E42" s="78"/>
      <c r="F42" s="78"/>
      <c r="G42" s="78"/>
      <c r="H42" s="79"/>
      <c r="I42" s="42">
        <f t="shared" si="0"/>
        <v>17970.829999999998</v>
      </c>
      <c r="J42" s="11">
        <v>3772.25</v>
      </c>
      <c r="K42" s="11">
        <v>713.08</v>
      </c>
      <c r="L42" s="4">
        <f t="shared" si="7"/>
        <v>62.949999999998909</v>
      </c>
      <c r="M42" s="4">
        <f t="shared" si="2"/>
        <v>4548.2799999999988</v>
      </c>
      <c r="N42" s="54">
        <f t="shared" si="3"/>
        <v>13422.55</v>
      </c>
      <c r="O42" s="60"/>
      <c r="P42" s="61">
        <v>13422.55</v>
      </c>
    </row>
    <row r="43" spans="1:16" x14ac:dyDescent="0.25">
      <c r="A43" s="95" t="s">
        <v>58</v>
      </c>
      <c r="B43" s="97" t="s">
        <v>48</v>
      </c>
      <c r="C43" s="104" t="s">
        <v>87</v>
      </c>
      <c r="D43" s="101" t="s">
        <v>49</v>
      </c>
      <c r="E43" s="101" t="s">
        <v>88</v>
      </c>
      <c r="F43" s="66" t="s">
        <v>89</v>
      </c>
      <c r="G43" s="68" t="s">
        <v>91</v>
      </c>
      <c r="H43" s="36" t="s">
        <v>63</v>
      </c>
      <c r="I43" s="56" t="s">
        <v>50</v>
      </c>
      <c r="J43" s="99" t="s">
        <v>52</v>
      </c>
      <c r="K43" s="99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96"/>
      <c r="B44" s="98"/>
      <c r="C44" s="105"/>
      <c r="D44" s="102"/>
      <c r="E44" s="102"/>
      <c r="F44" s="67" t="s">
        <v>90</v>
      </c>
      <c r="G44" s="69" t="s">
        <v>67</v>
      </c>
      <c r="H44" s="37" t="s">
        <v>64</v>
      </c>
      <c r="I44" s="57" t="s">
        <v>51</v>
      </c>
      <c r="J44" s="100"/>
      <c r="K44" s="100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f>1367.1+136.71</f>
        <v>1503.81</v>
      </c>
      <c r="C45" s="74"/>
      <c r="D45" s="78"/>
      <c r="E45" s="78">
        <f>497.13+49.71+182.28</f>
        <v>729.12</v>
      </c>
      <c r="F45" s="78"/>
      <c r="G45" s="78"/>
      <c r="H45" s="79"/>
      <c r="I45" s="47">
        <f t="shared" ref="I45:I66" si="13">SUM(B45:H45)-G45</f>
        <v>2232.9299999999998</v>
      </c>
      <c r="J45" s="11"/>
      <c r="K45" s="11">
        <f>132.33+57.25</f>
        <v>189.58</v>
      </c>
      <c r="L45" s="4">
        <f t="shared" ref="L45:L66" si="14">I45-J45-K45-P45</f>
        <v>1247.0099999999998</v>
      </c>
      <c r="M45" s="4">
        <f t="shared" si="2"/>
        <v>1436.5899999999997</v>
      </c>
      <c r="N45" s="55">
        <f t="shared" si="3"/>
        <v>796.34000000000015</v>
      </c>
      <c r="O45" s="60"/>
      <c r="P45" s="61">
        <v>796.34</v>
      </c>
    </row>
    <row r="46" spans="1:16" x14ac:dyDescent="0.25">
      <c r="A46" s="50" t="s">
        <v>30</v>
      </c>
      <c r="B46" s="44">
        <f>2444.34+488.87</f>
        <v>2933.21</v>
      </c>
      <c r="C46" s="71"/>
      <c r="D46" s="78"/>
      <c r="E46" s="78">
        <f>1014.01+6.67+202.8+405.61+53.71</f>
        <v>1682.8000000000002</v>
      </c>
      <c r="F46" s="78"/>
      <c r="G46" s="78"/>
      <c r="H46" s="80"/>
      <c r="I46" s="41">
        <f t="shared" si="13"/>
        <v>4616.01</v>
      </c>
      <c r="J46" s="11">
        <f>55.15+86.66</f>
        <v>141.81</v>
      </c>
      <c r="K46" s="11">
        <f>347.64+157.54</f>
        <v>505.17999999999995</v>
      </c>
      <c r="L46" s="4">
        <f t="shared" si="14"/>
        <v>1821.17</v>
      </c>
      <c r="M46" s="4">
        <f t="shared" si="2"/>
        <v>2468.16</v>
      </c>
      <c r="N46" s="53">
        <f t="shared" si="3"/>
        <v>2147.8500000000004</v>
      </c>
      <c r="O46" s="60"/>
      <c r="P46" s="61">
        <v>2147.85</v>
      </c>
    </row>
    <row r="47" spans="1:16" x14ac:dyDescent="0.25">
      <c r="A47" s="50" t="s">
        <v>31</v>
      </c>
      <c r="B47" s="44">
        <f>7858.53+1021.61</f>
        <v>8880.14</v>
      </c>
      <c r="C47" s="71"/>
      <c r="D47" s="78"/>
      <c r="E47" s="78"/>
      <c r="F47" s="78"/>
      <c r="G47" s="78"/>
      <c r="H47" s="80">
        <v>8264.02</v>
      </c>
      <c r="I47" s="41">
        <f t="shared" si="13"/>
        <v>17144.16</v>
      </c>
      <c r="J47" s="11">
        <v>3597.05</v>
      </c>
      <c r="K47" s="11">
        <v>713.08</v>
      </c>
      <c r="L47" s="4">
        <f t="shared" si="14"/>
        <v>578.65000000000146</v>
      </c>
      <c r="M47" s="4">
        <f t="shared" si="2"/>
        <v>4888.7800000000016</v>
      </c>
      <c r="N47" s="53">
        <f t="shared" si="3"/>
        <v>12255.379999999997</v>
      </c>
      <c r="O47" s="60"/>
      <c r="P47" s="61">
        <v>12255.38</v>
      </c>
    </row>
    <row r="48" spans="1:16" x14ac:dyDescent="0.25">
      <c r="A48" s="50" t="s">
        <v>32</v>
      </c>
      <c r="B48" s="44">
        <f>4406.92+1419.03</f>
        <v>5825.95</v>
      </c>
      <c r="C48" s="71">
        <v>1762.77</v>
      </c>
      <c r="D48" s="78"/>
      <c r="E48" s="78">
        <f>341.26+853.15+20.37+274.71+489.71+65.51</f>
        <v>2044.7099999999998</v>
      </c>
      <c r="F48" s="78"/>
      <c r="G48" s="78"/>
      <c r="H48" s="80"/>
      <c r="I48" s="41">
        <f t="shared" si="13"/>
        <v>9633.4299999999985</v>
      </c>
      <c r="J48" s="11">
        <v>979.85</v>
      </c>
      <c r="K48" s="11">
        <f>550.64+162.44</f>
        <v>713.07999999999993</v>
      </c>
      <c r="L48" s="4">
        <f>I48-J48-K48-P48</f>
        <v>2650.8999999999978</v>
      </c>
      <c r="M48" s="4">
        <f>SUM(J48:L48)</f>
        <v>4343.8299999999981</v>
      </c>
      <c r="N48" s="53">
        <f t="shared" si="3"/>
        <v>5289.6</v>
      </c>
      <c r="O48" s="60"/>
      <c r="P48" s="61">
        <v>5289.6</v>
      </c>
    </row>
    <row r="49" spans="1:16" x14ac:dyDescent="0.25">
      <c r="A49" s="50" t="s">
        <v>33</v>
      </c>
      <c r="B49" s="44">
        <f>4106.27+640.58</f>
        <v>4746.8500000000004</v>
      </c>
      <c r="C49" s="71">
        <v>821.25</v>
      </c>
      <c r="D49" s="78"/>
      <c r="E49" s="78">
        <f>158.99+794.94+124.01+359.31+47.58</f>
        <v>1484.83</v>
      </c>
      <c r="F49" s="78"/>
      <c r="G49" s="78">
        <f>2384.82+372.03+476.96</f>
        <v>3233.8100000000004</v>
      </c>
      <c r="H49" s="80"/>
      <c r="I49" s="41">
        <f t="shared" si="13"/>
        <v>7052.9300000000012</v>
      </c>
      <c r="J49" s="11">
        <v>407.22</v>
      </c>
      <c r="K49" s="11">
        <f>599.41+113.67</f>
        <v>713.07999999999993</v>
      </c>
      <c r="L49" s="4">
        <f t="shared" si="14"/>
        <v>1744.5200000000013</v>
      </c>
      <c r="M49" s="4">
        <f t="shared" si="2"/>
        <v>2864.8200000000015</v>
      </c>
      <c r="N49" s="53">
        <f t="shared" si="3"/>
        <v>4188.1099999999997</v>
      </c>
      <c r="O49" s="60"/>
      <c r="P49" s="61">
        <v>4188.1099999999997</v>
      </c>
    </row>
    <row r="50" spans="1:16" x14ac:dyDescent="0.25">
      <c r="A50" s="50" t="s">
        <v>34</v>
      </c>
      <c r="B50" s="44">
        <v>6876.86</v>
      </c>
      <c r="C50" s="71"/>
      <c r="D50" s="78"/>
      <c r="E50" s="78"/>
      <c r="F50" s="78"/>
      <c r="G50" s="78"/>
      <c r="H50" s="80"/>
      <c r="I50" s="41">
        <f t="shared" si="13"/>
        <v>6876.86</v>
      </c>
      <c r="J50" s="11">
        <v>773.54</v>
      </c>
      <c r="K50" s="11">
        <v>713.08</v>
      </c>
      <c r="L50" s="4">
        <f t="shared" si="14"/>
        <v>785.30000000000018</v>
      </c>
      <c r="M50" s="4">
        <f t="shared" si="2"/>
        <v>2271.92</v>
      </c>
      <c r="N50" s="53">
        <f>SUM(I50-M50)+G50</f>
        <v>4604.9399999999996</v>
      </c>
      <c r="O50" s="60"/>
      <c r="P50" s="61">
        <v>4604.9399999999996</v>
      </c>
    </row>
    <row r="51" spans="1:16" x14ac:dyDescent="0.25">
      <c r="A51" s="50" t="s">
        <v>35</v>
      </c>
      <c r="B51" s="44">
        <f>4927.52+591.3</f>
        <v>5518.8200000000006</v>
      </c>
      <c r="C51" s="71">
        <v>985.5</v>
      </c>
      <c r="D51" s="78"/>
      <c r="E51" s="78"/>
      <c r="F51" s="78"/>
      <c r="G51" s="78"/>
      <c r="H51" s="80"/>
      <c r="I51" s="41">
        <f t="shared" si="13"/>
        <v>6504.3200000000006</v>
      </c>
      <c r="J51" s="11">
        <v>671.09</v>
      </c>
      <c r="K51" s="11">
        <v>713.08</v>
      </c>
      <c r="L51" s="4">
        <f t="shared" si="14"/>
        <v>1314.2900000000004</v>
      </c>
      <c r="M51" s="4">
        <f t="shared" si="2"/>
        <v>2698.4600000000005</v>
      </c>
      <c r="N51" s="53">
        <f>SUM(I51-M51)+G51</f>
        <v>3805.86</v>
      </c>
      <c r="O51" s="60"/>
      <c r="P51" s="61">
        <v>3805.86</v>
      </c>
    </row>
    <row r="52" spans="1:16" x14ac:dyDescent="0.25">
      <c r="A52" s="50" t="s">
        <v>36</v>
      </c>
      <c r="B52" s="44">
        <v>4145.71</v>
      </c>
      <c r="C52" s="71"/>
      <c r="D52" s="78"/>
      <c r="E52" s="78"/>
      <c r="F52" s="78"/>
      <c r="G52" s="78"/>
      <c r="H52" s="80"/>
      <c r="I52" s="41">
        <f t="shared" si="13"/>
        <v>4145.71</v>
      </c>
      <c r="J52" s="11">
        <v>144.28</v>
      </c>
      <c r="K52" s="11">
        <v>439.33</v>
      </c>
      <c r="L52" s="4">
        <f t="shared" si="14"/>
        <v>869.02</v>
      </c>
      <c r="M52" s="4">
        <f t="shared" si="2"/>
        <v>1452.63</v>
      </c>
      <c r="N52" s="53">
        <f t="shared" si="3"/>
        <v>2693.08</v>
      </c>
      <c r="O52" s="60"/>
      <c r="P52" s="61">
        <v>2693.08</v>
      </c>
    </row>
    <row r="53" spans="1:16" x14ac:dyDescent="0.25">
      <c r="A53" s="50" t="s">
        <v>85</v>
      </c>
      <c r="B53" s="44">
        <v>2410.6</v>
      </c>
      <c r="C53" s="71"/>
      <c r="D53" s="78"/>
      <c r="E53" s="78"/>
      <c r="F53" s="78"/>
      <c r="G53" s="78"/>
      <c r="H53" s="80"/>
      <c r="I53" s="41">
        <f t="shared" si="13"/>
        <v>2410.6</v>
      </c>
      <c r="J53" s="11">
        <v>22.18</v>
      </c>
      <c r="K53" s="11">
        <v>210.9</v>
      </c>
      <c r="L53" s="4">
        <f t="shared" si="14"/>
        <v>5.9499999999998181</v>
      </c>
      <c r="M53" s="4">
        <f t="shared" si="2"/>
        <v>239.02999999999983</v>
      </c>
      <c r="N53" s="53">
        <f t="shared" si="3"/>
        <v>2171.5700000000002</v>
      </c>
      <c r="O53" s="60"/>
      <c r="P53" s="61">
        <v>2171.5700000000002</v>
      </c>
    </row>
    <row r="54" spans="1:16" x14ac:dyDescent="0.25">
      <c r="A54" s="50" t="s">
        <v>38</v>
      </c>
      <c r="B54" s="44">
        <f>12454.51+9465.43</f>
        <v>21919.940000000002</v>
      </c>
      <c r="C54" s="71">
        <v>12454.51</v>
      </c>
      <c r="D54" s="78"/>
      <c r="E54" s="78"/>
      <c r="F54" s="78"/>
      <c r="G54" s="78"/>
      <c r="H54" s="80"/>
      <c r="I54" s="41">
        <f t="shared" si="13"/>
        <v>34374.450000000004</v>
      </c>
      <c r="J54" s="11">
        <v>8387.52</v>
      </c>
      <c r="K54" s="11">
        <v>713.08</v>
      </c>
      <c r="L54" s="4">
        <f t="shared" si="14"/>
        <v>291.94000000000233</v>
      </c>
      <c r="M54" s="4">
        <f t="shared" si="2"/>
        <v>9392.5400000000027</v>
      </c>
      <c r="N54" s="53">
        <f t="shared" si="3"/>
        <v>24981.910000000003</v>
      </c>
      <c r="O54" s="60"/>
      <c r="P54" s="61">
        <v>24981.91</v>
      </c>
    </row>
    <row r="55" spans="1:16" x14ac:dyDescent="0.25">
      <c r="A55" s="50" t="s">
        <v>39</v>
      </c>
      <c r="B55" s="44">
        <f>4927.52+650.43</f>
        <v>5577.9500000000007</v>
      </c>
      <c r="C55" s="71">
        <v>985.5</v>
      </c>
      <c r="D55" s="78"/>
      <c r="E55" s="78"/>
      <c r="F55" s="78"/>
      <c r="G55" s="78"/>
      <c r="H55" s="80"/>
      <c r="I55" s="41">
        <f t="shared" si="13"/>
        <v>6563.4500000000007</v>
      </c>
      <c r="J55" s="11">
        <v>687.35</v>
      </c>
      <c r="K55" s="11">
        <v>713.08</v>
      </c>
      <c r="L55" s="4">
        <f t="shared" si="14"/>
        <v>199.77000000000044</v>
      </c>
      <c r="M55" s="4">
        <f t="shared" si="2"/>
        <v>1600.2000000000005</v>
      </c>
      <c r="N55" s="53">
        <f t="shared" si="3"/>
        <v>4963.25</v>
      </c>
      <c r="O55" s="60"/>
      <c r="P55" s="61">
        <v>4963.25</v>
      </c>
    </row>
    <row r="56" spans="1:16" x14ac:dyDescent="0.25">
      <c r="A56" s="50" t="s">
        <v>40</v>
      </c>
      <c r="B56" s="44">
        <v>5464.66</v>
      </c>
      <c r="C56" s="71"/>
      <c r="D56" s="78"/>
      <c r="E56" s="78"/>
      <c r="F56" s="78"/>
      <c r="G56" s="78"/>
      <c r="H56" s="80"/>
      <c r="I56" s="41">
        <f t="shared" si="13"/>
        <v>5464.66</v>
      </c>
      <c r="J56" s="11">
        <v>410.36</v>
      </c>
      <c r="K56" s="11">
        <v>623.99</v>
      </c>
      <c r="L56" s="4">
        <f t="shared" si="14"/>
        <v>748.23000000000047</v>
      </c>
      <c r="M56" s="4">
        <f t="shared" si="2"/>
        <v>1782.5800000000004</v>
      </c>
      <c r="N56" s="53">
        <f t="shared" si="3"/>
        <v>3682.0799999999995</v>
      </c>
      <c r="O56" s="60"/>
      <c r="P56" s="61">
        <v>3682.08</v>
      </c>
    </row>
    <row r="57" spans="1:16" x14ac:dyDescent="0.25">
      <c r="A57" s="50" t="s">
        <v>70</v>
      </c>
      <c r="B57" s="44">
        <v>1862.88</v>
      </c>
      <c r="C57" s="71"/>
      <c r="D57" s="78"/>
      <c r="E57" s="78"/>
      <c r="F57" s="78"/>
      <c r="G57" s="78"/>
      <c r="H57" s="80"/>
      <c r="I57" s="41">
        <f t="shared" si="13"/>
        <v>1862.88</v>
      </c>
      <c r="J57" s="11"/>
      <c r="K57" s="11">
        <v>151.97</v>
      </c>
      <c r="L57" s="4">
        <f t="shared" ref="L57" si="15">I57-J57-K57-P57</f>
        <v>5.9500000000000455</v>
      </c>
      <c r="M57" s="4">
        <f t="shared" ref="M57" si="16">SUM(J57:L57)</f>
        <v>157.92000000000004</v>
      </c>
      <c r="N57" s="53">
        <f t="shared" ref="N57" si="17">SUM(I57-M57)</f>
        <v>1704.96</v>
      </c>
      <c r="O57" s="60"/>
      <c r="P57" s="61">
        <v>1704.96</v>
      </c>
    </row>
    <row r="58" spans="1:16" x14ac:dyDescent="0.25">
      <c r="A58" s="50" t="s">
        <v>41</v>
      </c>
      <c r="B58" s="44">
        <f>11980.55+3881.7</f>
        <v>15862.25</v>
      </c>
      <c r="C58" s="71">
        <v>2396.11</v>
      </c>
      <c r="D58" s="78"/>
      <c r="E58" s="78"/>
      <c r="F58" s="78"/>
      <c r="G58" s="78"/>
      <c r="H58" s="80"/>
      <c r="I58" s="41">
        <f t="shared" si="13"/>
        <v>18258.36</v>
      </c>
      <c r="J58" s="11">
        <v>3955.59</v>
      </c>
      <c r="K58" s="11">
        <v>713.08</v>
      </c>
      <c r="L58" s="4">
        <f t="shared" si="14"/>
        <v>36.3700000000008</v>
      </c>
      <c r="M58" s="4">
        <f t="shared" si="2"/>
        <v>4705.0400000000009</v>
      </c>
      <c r="N58" s="53">
        <f>SUM(I58-M58)+G58</f>
        <v>13553.32</v>
      </c>
      <c r="O58" s="60"/>
      <c r="P58" s="61">
        <v>13553.32</v>
      </c>
    </row>
    <row r="59" spans="1:16" x14ac:dyDescent="0.25">
      <c r="A59" s="50" t="s">
        <v>42</v>
      </c>
      <c r="B59" s="44">
        <f>1389.52+180.64</f>
        <v>1570.1599999999999</v>
      </c>
      <c r="C59" s="71"/>
      <c r="D59" s="78"/>
      <c r="E59" s="78">
        <f>505.28+65.69+190.32</f>
        <v>761.29</v>
      </c>
      <c r="F59" s="78"/>
      <c r="G59" s="78"/>
      <c r="H59" s="80"/>
      <c r="I59" s="41">
        <f t="shared" si="13"/>
        <v>2331.4499999999998</v>
      </c>
      <c r="J59" s="11"/>
      <c r="K59" s="11">
        <f>141.25+60.15</f>
        <v>201.4</v>
      </c>
      <c r="L59" s="4">
        <f t="shared" si="14"/>
        <v>736.2199999999998</v>
      </c>
      <c r="M59" s="4">
        <f t="shared" si="2"/>
        <v>937.61999999999978</v>
      </c>
      <c r="N59" s="53">
        <f t="shared" si="3"/>
        <v>1393.83</v>
      </c>
      <c r="O59" s="60"/>
      <c r="P59" s="61">
        <v>1393.83</v>
      </c>
    </row>
    <row r="60" spans="1:16" x14ac:dyDescent="0.25">
      <c r="A60" s="50" t="s">
        <v>43</v>
      </c>
      <c r="B60" s="44">
        <v>4155.38</v>
      </c>
      <c r="C60" s="71"/>
      <c r="D60" s="78"/>
      <c r="E60" s="78"/>
      <c r="F60" s="78"/>
      <c r="G60" s="78"/>
      <c r="H60" s="80"/>
      <c r="I60" s="41">
        <f t="shared" si="13"/>
        <v>4155.38</v>
      </c>
      <c r="J60" s="11">
        <v>202.4</v>
      </c>
      <c r="K60" s="11">
        <v>440.69</v>
      </c>
      <c r="L60" s="4">
        <f t="shared" si="14"/>
        <v>1017.02</v>
      </c>
      <c r="M60" s="4">
        <f t="shared" si="2"/>
        <v>1660.1100000000001</v>
      </c>
      <c r="N60" s="53">
        <f t="shared" si="3"/>
        <v>2495.27</v>
      </c>
      <c r="O60" s="60"/>
      <c r="P60" s="61">
        <v>2495.27</v>
      </c>
    </row>
    <row r="61" spans="1:16" x14ac:dyDescent="0.25">
      <c r="A61" s="50" t="s">
        <v>44</v>
      </c>
      <c r="B61" s="44">
        <f>10377.23+3860.33</f>
        <v>14237.56</v>
      </c>
      <c r="C61" s="71">
        <v>2075.4499999999998</v>
      </c>
      <c r="D61" s="78"/>
      <c r="E61" s="78"/>
      <c r="F61" s="78"/>
      <c r="G61" s="78"/>
      <c r="H61" s="80"/>
      <c r="I61" s="41">
        <f t="shared" si="13"/>
        <v>16313.009999999998</v>
      </c>
      <c r="J61" s="11">
        <v>3316.35</v>
      </c>
      <c r="K61" s="11">
        <v>713.08</v>
      </c>
      <c r="L61" s="4">
        <f t="shared" si="14"/>
        <v>1409.6499999999978</v>
      </c>
      <c r="M61" s="4">
        <f t="shared" si="2"/>
        <v>5439.0799999999981</v>
      </c>
      <c r="N61" s="53">
        <f>SUM(I61-M61)+G61</f>
        <v>10873.93</v>
      </c>
      <c r="O61" s="60"/>
      <c r="P61" s="61">
        <v>10873.93</v>
      </c>
    </row>
    <row r="62" spans="1:16" x14ac:dyDescent="0.25">
      <c r="A62" s="50" t="s">
        <v>45</v>
      </c>
      <c r="B62" s="44">
        <v>4993.3999999999996</v>
      </c>
      <c r="C62" s="71"/>
      <c r="D62" s="78"/>
      <c r="E62" s="78"/>
      <c r="F62" s="78"/>
      <c r="G62" s="78"/>
      <c r="H62" s="80"/>
      <c r="I62" s="41">
        <f t="shared" si="13"/>
        <v>4993.3999999999996</v>
      </c>
      <c r="J62" s="11">
        <v>319.18</v>
      </c>
      <c r="K62" s="11">
        <v>558.01</v>
      </c>
      <c r="L62" s="4">
        <f t="shared" si="14"/>
        <v>1860.849999999999</v>
      </c>
      <c r="M62" s="4">
        <f t="shared" si="2"/>
        <v>2738.0399999999991</v>
      </c>
      <c r="N62" s="53">
        <f t="shared" si="3"/>
        <v>2255.3600000000006</v>
      </c>
      <c r="O62" s="60"/>
      <c r="P62" s="61">
        <v>2255.36</v>
      </c>
    </row>
    <row r="63" spans="1:16" x14ac:dyDescent="0.25">
      <c r="A63" s="50" t="s">
        <v>46</v>
      </c>
      <c r="B63" s="44">
        <f>1243.91+161.71</f>
        <v>1405.6200000000001</v>
      </c>
      <c r="C63" s="71"/>
      <c r="D63" s="78"/>
      <c r="E63" s="78">
        <f>516.02+67.09+194.37+25.72</f>
        <v>803.2</v>
      </c>
      <c r="F63" s="78"/>
      <c r="G63" s="78"/>
      <c r="H63" s="80"/>
      <c r="I63" s="41">
        <f t="shared" si="13"/>
        <v>2208.8200000000002</v>
      </c>
      <c r="J63" s="11"/>
      <c r="K63" s="11">
        <f>126.12+60.56</f>
        <v>186.68</v>
      </c>
      <c r="L63" s="4">
        <f t="shared" si="14"/>
        <v>783.43000000000006</v>
      </c>
      <c r="M63" s="4">
        <f t="shared" si="2"/>
        <v>970.11000000000013</v>
      </c>
      <c r="N63" s="53">
        <f t="shared" si="3"/>
        <v>1238.71</v>
      </c>
      <c r="O63" s="60"/>
      <c r="P63" s="61">
        <v>1238.71</v>
      </c>
    </row>
    <row r="64" spans="1:16" x14ac:dyDescent="0.25">
      <c r="A64" s="50" t="s">
        <v>86</v>
      </c>
      <c r="B64" s="44">
        <v>3993.39</v>
      </c>
      <c r="C64" s="71"/>
      <c r="D64" s="78"/>
      <c r="E64" s="78"/>
      <c r="F64" s="78"/>
      <c r="G64" s="78"/>
      <c r="H64" s="80"/>
      <c r="I64" s="41">
        <f t="shared" si="13"/>
        <v>3993.39</v>
      </c>
      <c r="J64" s="11">
        <v>181.51</v>
      </c>
      <c r="K64" s="11">
        <v>418.01</v>
      </c>
      <c r="L64" s="4">
        <f t="shared" ref="L64" si="18">I64-J64-K64-P64</f>
        <v>5.9499999999998181</v>
      </c>
      <c r="M64" s="4">
        <f t="shared" ref="M64" si="19">SUM(J64:L64)</f>
        <v>605.4699999999998</v>
      </c>
      <c r="N64" s="53">
        <f t="shared" ref="N64" si="20">SUM(I64-M64)</f>
        <v>3387.92</v>
      </c>
      <c r="O64" s="60"/>
      <c r="P64" s="61">
        <v>3387.92</v>
      </c>
    </row>
    <row r="65" spans="1:16" x14ac:dyDescent="0.25">
      <c r="A65" s="50" t="s">
        <v>84</v>
      </c>
      <c r="B65" s="44">
        <f>1287.31+12.87</f>
        <v>1300.1799999999998</v>
      </c>
      <c r="C65" s="71"/>
      <c r="D65" s="78"/>
      <c r="E65" s="78">
        <f>468.11+4.68+157.6</f>
        <v>630.39</v>
      </c>
      <c r="F65" s="78"/>
      <c r="G65" s="78"/>
      <c r="H65" s="80"/>
      <c r="I65" s="41">
        <f t="shared" si="13"/>
        <v>1930.5699999999997</v>
      </c>
      <c r="J65" s="11">
        <v>19.100000000000001</v>
      </c>
      <c r="K65" s="11">
        <f>103.32+54.75</f>
        <v>158.07</v>
      </c>
      <c r="L65" s="4">
        <f t="shared" ref="L65" si="21">I65-J65-K65-P65</f>
        <v>582.44999999999982</v>
      </c>
      <c r="M65" s="4">
        <f t="shared" ref="M65" si="22">SUM(J65:L65)</f>
        <v>759.61999999999978</v>
      </c>
      <c r="N65" s="53">
        <f t="shared" ref="N65" si="23">SUM(I65-M65)</f>
        <v>1170.9499999999998</v>
      </c>
      <c r="O65" s="60"/>
      <c r="P65" s="61">
        <v>1170.95</v>
      </c>
    </row>
    <row r="66" spans="1:16" ht="15.75" thickBot="1" x14ac:dyDescent="0.3">
      <c r="A66" s="51" t="s">
        <v>47</v>
      </c>
      <c r="B66" s="46">
        <f>8015.71+1058.07</f>
        <v>9073.7800000000007</v>
      </c>
      <c r="C66" s="75">
        <v>1603.14</v>
      </c>
      <c r="D66" s="81"/>
      <c r="E66" s="81"/>
      <c r="F66" s="81"/>
      <c r="G66" s="81"/>
      <c r="H66" s="82">
        <v>8264.01</v>
      </c>
      <c r="I66" s="42">
        <f t="shared" si="13"/>
        <v>18940.93</v>
      </c>
      <c r="J66" s="38">
        <v>4091.16</v>
      </c>
      <c r="K66" s="38">
        <v>713.08</v>
      </c>
      <c r="L66" s="39">
        <f t="shared" si="14"/>
        <v>67.06000000000131</v>
      </c>
      <c r="M66" s="39">
        <f t="shared" si="2"/>
        <v>4871.3000000000011</v>
      </c>
      <c r="N66" s="54">
        <f t="shared" si="3"/>
        <v>14069.63</v>
      </c>
      <c r="O66" s="60"/>
      <c r="P66" s="61">
        <v>14069.63</v>
      </c>
    </row>
    <row r="67" spans="1:16" ht="15.75" thickBot="1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</row>
    <row r="68" spans="1:16" x14ac:dyDescent="0.25">
      <c r="A68" s="92" t="s">
        <v>99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4"/>
    </row>
    <row r="69" spans="1:16" x14ac:dyDescent="0.25">
      <c r="A69" s="106" t="s">
        <v>96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8"/>
    </row>
    <row r="70" spans="1:16" ht="5.25" customHeight="1" x14ac:dyDescent="0.25">
      <c r="A70" s="109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1"/>
    </row>
    <row r="71" spans="1:16" x14ac:dyDescent="0.25">
      <c r="A71" s="112" t="s">
        <v>97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4"/>
    </row>
    <row r="72" spans="1:16" x14ac:dyDescent="0.25">
      <c r="A72" s="115" t="s">
        <v>92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7"/>
    </row>
    <row r="73" spans="1:16" x14ac:dyDescent="0.25">
      <c r="A73" s="115" t="s">
        <v>93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7"/>
    </row>
    <row r="74" spans="1:16" x14ac:dyDescent="0.25">
      <c r="A74" s="115" t="s">
        <v>94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7"/>
    </row>
    <row r="75" spans="1:16" ht="15.75" thickBot="1" x14ac:dyDescent="0.3">
      <c r="A75" s="89" t="s">
        <v>95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1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83" t="s">
        <v>78</v>
      </c>
      <c r="M79" s="84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351317.91000000009</v>
      </c>
      <c r="J80" s="32">
        <f>SUM(J7:J42)</f>
        <v>56102.32</v>
      </c>
      <c r="K80" s="32">
        <f>SUM(K7:K42)</f>
        <v>19072.050000000007</v>
      </c>
      <c r="L80" s="85">
        <f>SUM(N7:N42)</f>
        <v>194395.05999999994</v>
      </c>
      <c r="M80" s="86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182007.7</v>
      </c>
      <c r="J81" s="32">
        <f>SUM(J45:J66)</f>
        <v>28307.54</v>
      </c>
      <c r="K81" s="32">
        <f>SUM(K45:K66)</f>
        <v>11214.609999999999</v>
      </c>
      <c r="L81" s="85">
        <f>SUM(N45:N66)</f>
        <v>123723.85</v>
      </c>
      <c r="M81" s="86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533325.6100000001</v>
      </c>
      <c r="J82" s="34">
        <f>SUM(J80:J81)</f>
        <v>84409.86</v>
      </c>
      <c r="K82" s="34">
        <f>SUM(K80:K81)</f>
        <v>30286.660000000003</v>
      </c>
      <c r="L82" s="87">
        <f>SUM(L80:L81)</f>
        <v>318118.90999999992</v>
      </c>
      <c r="M82" s="88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  <mergeCell ref="A69:N69"/>
    <mergeCell ref="A70:N70"/>
    <mergeCell ref="A71:N71"/>
    <mergeCell ref="A72:N72"/>
    <mergeCell ref="A74:N74"/>
    <mergeCell ref="A73:N73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L79:M79"/>
    <mergeCell ref="L80:M80"/>
    <mergeCell ref="L81:M81"/>
    <mergeCell ref="L82:M82"/>
    <mergeCell ref="A75:N75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20" t="s">
        <v>59</v>
      </c>
      <c r="B1" s="120"/>
      <c r="C1" s="120"/>
      <c r="D1" s="120"/>
      <c r="E1" s="120"/>
      <c r="F1" s="120"/>
      <c r="G1" s="120"/>
      <c r="H1" s="120"/>
      <c r="I1" s="120"/>
    </row>
    <row r="2" spans="1:12" x14ac:dyDescent="0.25">
      <c r="A2" s="120" t="s">
        <v>60</v>
      </c>
      <c r="B2" s="120"/>
      <c r="C2" s="120"/>
      <c r="D2" s="120"/>
      <c r="E2" s="120"/>
      <c r="F2" s="120"/>
      <c r="G2" s="120"/>
      <c r="H2" s="120"/>
      <c r="I2" s="120"/>
    </row>
    <row r="3" spans="1:12" ht="4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2" t="s">
        <v>58</v>
      </c>
      <c r="B5" s="124" t="s">
        <v>48</v>
      </c>
      <c r="C5" s="124" t="s">
        <v>80</v>
      </c>
      <c r="D5" s="5" t="s">
        <v>50</v>
      </c>
      <c r="E5" s="124" t="s">
        <v>52</v>
      </c>
      <c r="F5" s="124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3"/>
      <c r="B6" s="125"/>
      <c r="C6" s="125"/>
      <c r="D6" s="6" t="s">
        <v>51</v>
      </c>
      <c r="E6" s="125"/>
      <c r="F6" s="125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2" t="s">
        <v>58</v>
      </c>
      <c r="B42" s="124" t="s">
        <v>48</v>
      </c>
      <c r="C42" s="124" t="s">
        <v>80</v>
      </c>
      <c r="D42" s="5" t="s">
        <v>50</v>
      </c>
      <c r="E42" s="126" t="s">
        <v>52</v>
      </c>
      <c r="F42" s="126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3"/>
      <c r="B43" s="125"/>
      <c r="C43" s="125"/>
      <c r="D43" s="6" t="s">
        <v>51</v>
      </c>
      <c r="E43" s="127"/>
      <c r="F43" s="127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30" t="s">
        <v>73</v>
      </c>
      <c r="B65" s="131"/>
      <c r="C65" s="131"/>
      <c r="D65" s="131"/>
      <c r="E65" s="131"/>
      <c r="F65" s="131"/>
      <c r="G65" s="131"/>
      <c r="H65" s="131"/>
      <c r="I65" s="131"/>
    </row>
    <row r="66" spans="1:9" x14ac:dyDescent="0.25">
      <c r="A66" s="130" t="s">
        <v>61</v>
      </c>
      <c r="B66" s="131"/>
      <c r="C66" s="131"/>
      <c r="D66" s="131"/>
      <c r="E66" s="131"/>
      <c r="F66" s="131"/>
      <c r="G66" s="131"/>
      <c r="H66" s="131"/>
      <c r="I66" s="131"/>
    </row>
    <row r="67" spans="1:9" x14ac:dyDescent="0.25">
      <c r="A67" s="132"/>
      <c r="B67" s="132"/>
      <c r="C67" s="132"/>
      <c r="D67" s="132"/>
      <c r="E67" s="132"/>
      <c r="F67" s="132"/>
      <c r="G67" s="132"/>
      <c r="H67" s="132"/>
      <c r="I67" s="132"/>
    </row>
    <row r="68" spans="1:9" x14ac:dyDescent="0.25">
      <c r="A68" s="133" t="s">
        <v>62</v>
      </c>
      <c r="B68" s="133"/>
      <c r="C68" s="133"/>
      <c r="D68" s="133"/>
      <c r="E68" s="133"/>
      <c r="F68" s="133"/>
      <c r="G68" s="133"/>
      <c r="H68" s="133"/>
      <c r="I68" s="133"/>
    </row>
    <row r="69" spans="1:9" x14ac:dyDescent="0.25">
      <c r="A69" s="128" t="s">
        <v>66</v>
      </c>
      <c r="B69" s="128"/>
      <c r="C69" s="128"/>
      <c r="D69" s="128"/>
      <c r="E69" s="128"/>
      <c r="F69" s="128"/>
      <c r="G69" s="128"/>
      <c r="H69" s="128"/>
      <c r="I69" s="128"/>
    </row>
    <row r="70" spans="1:9" x14ac:dyDescent="0.25">
      <c r="A70" s="128" t="s">
        <v>68</v>
      </c>
      <c r="B70" s="128"/>
      <c r="C70" s="128"/>
      <c r="D70" s="128"/>
      <c r="E70" s="128"/>
      <c r="F70" s="128"/>
      <c r="G70" s="128"/>
      <c r="H70" s="128"/>
      <c r="I70" s="128"/>
    </row>
    <row r="71" spans="1:9" x14ac:dyDescent="0.25">
      <c r="A71" s="128" t="s">
        <v>65</v>
      </c>
      <c r="B71" s="128"/>
      <c r="C71" s="128"/>
      <c r="D71" s="128"/>
      <c r="E71" s="128"/>
      <c r="F71" s="128"/>
      <c r="G71" s="128"/>
      <c r="H71" s="128"/>
      <c r="I71" s="128"/>
    </row>
    <row r="72" spans="1:9" x14ac:dyDescent="0.25">
      <c r="A72" s="129"/>
      <c r="B72" s="129"/>
      <c r="C72" s="129"/>
      <c r="D72" s="129"/>
      <c r="E72" s="129"/>
      <c r="F72" s="129"/>
      <c r="G72" s="129"/>
      <c r="H72" s="129"/>
      <c r="I72" s="129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2020-05-15T20:26:54Z</dcterms:modified>
</cp:coreProperties>
</file>