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F3771D4D-6A8C-43AE-9957-C4BD980A02F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" i="6" l="1"/>
  <c r="J61" i="6"/>
  <c r="B61" i="6"/>
  <c r="F61" i="6"/>
  <c r="E61" i="6"/>
  <c r="G61" i="6"/>
  <c r="K60" i="6"/>
  <c r="E60" i="6"/>
  <c r="B60" i="6"/>
  <c r="J58" i="6"/>
  <c r="E58" i="6"/>
  <c r="G58" i="6"/>
  <c r="B58" i="6"/>
  <c r="B55" i="6"/>
  <c r="K53" i="6"/>
  <c r="E53" i="6"/>
  <c r="B53" i="6"/>
  <c r="B51" i="6"/>
  <c r="C48" i="6"/>
  <c r="B47" i="6"/>
  <c r="B42" i="6"/>
  <c r="B39" i="6"/>
  <c r="B38" i="6"/>
  <c r="B37" i="6"/>
  <c r="K35" i="6"/>
  <c r="E35" i="6"/>
  <c r="B35" i="6"/>
  <c r="K34" i="6"/>
  <c r="F34" i="6"/>
  <c r="E34" i="6"/>
  <c r="B34" i="6"/>
  <c r="J30" i="6"/>
  <c r="E30" i="6"/>
  <c r="G30" i="6"/>
  <c r="B30" i="6"/>
  <c r="B26" i="6"/>
  <c r="K21" i="6"/>
  <c r="E21" i="6"/>
  <c r="B21" i="6"/>
  <c r="C11" i="6"/>
  <c r="C14" i="6"/>
  <c r="B14" i="6"/>
  <c r="B11" i="6"/>
  <c r="K9" i="6"/>
  <c r="B9" i="6"/>
  <c r="E9" i="6"/>
  <c r="B54" i="6" l="1"/>
  <c r="B49" i="6"/>
  <c r="B48" i="6"/>
  <c r="B36" i="6"/>
  <c r="B29" i="6"/>
  <c r="B25" i="6"/>
  <c r="B23" i="6"/>
  <c r="B22" i="6"/>
  <c r="B20" i="6"/>
  <c r="B16" i="6"/>
  <c r="B15" i="6"/>
  <c r="B7" i="6" l="1"/>
  <c r="I64" i="6" l="1"/>
  <c r="L64" i="6" s="1"/>
  <c r="M64" i="6" s="1"/>
  <c r="N64" i="6" s="1"/>
  <c r="I46" i="6" l="1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45" i="6"/>
  <c r="I16" i="6"/>
  <c r="I17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10" i="6"/>
  <c r="I11" i="6"/>
  <c r="I12" i="6"/>
  <c r="I13" i="6"/>
  <c r="I14" i="6"/>
  <c r="I15" i="6"/>
  <c r="I8" i="6"/>
  <c r="I7" i="6"/>
  <c r="L65" i="6" l="1"/>
  <c r="M65" i="6" s="1"/>
  <c r="N65" i="6" s="1"/>
  <c r="I18" i="6"/>
  <c r="I9" i="6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<sst xmlns="http://schemas.openxmlformats.org/spreadsheetml/2006/main" count="208" uniqueCount="100">
  <si>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</si>
  <si>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</si>
  <si>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</si>
  <si>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</si>
  <si>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</si>
  <si>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</si>
  <si>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</si>
  <si>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</si>
  <si>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</si>
  <si>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</si>
  <si>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</si>
  <si>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</si>
  <si>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</si>
  <si>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</si>
  <si>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</si>
  <si>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</si>
  <si>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</si>
  <si>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</si>
  <si>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</si>
  <si>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</si>
  <si>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</si>
  <si>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</si>
  <si>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</si>
  <si>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</si>
  <si>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</si>
  <si>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</si>
  <si>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</si>
  <si>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</si>
  <si>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</si>
  <si>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</si>
  <si>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</si>
  <si>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</si>
  <si>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</si>
  <si>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</si>
  <si>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</si>
  <si>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</si>
  <si>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</si>
  <si>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</si>
  <si>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</si>
  <si>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</si>
  <si>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</si>
  <si>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</si>
  <si>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</si>
  <si>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</si>
  <si>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</si>
  <si>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</si>
  <si>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</si>
  <si>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</si>
  <si>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</si>
  <si>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</si>
  <si>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</si>
  <si>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</si>
  <si>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</si>
  <si>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</si>
  <si>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</si>
  <si>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</si>
  <si>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</si>
  <si>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</si>
  <si>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</si>
  <si>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</si>
  <si>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</si>
  <si>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</si>
  <si>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</si>
  <si>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</si>
  <si>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</si>
  <si>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</si>
  <si>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</si>
  <si>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</si>
  <si>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</si>
  <si>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</si>
  <si>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</si>
  <si>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</si>
  <si>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</si>
  <si>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</si>
  <si>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</si>
  <si>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</si>
  <si>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</si>
  <si>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</si>
  <si>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</si>
  <si>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</si>
  <si>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</si>
  <si>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</si>
  <si>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</si>
  <si>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</si>
  <si>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</si>
  <si>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</si>
  <si>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</si>
  <si>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</si>
  <si>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</si>
  <si>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</si>
  <si>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</si>
  <si>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</si>
  <si>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</si>
  <si>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</si>
  <si>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</si>
  <si>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</si>
  <si>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A concessão do vale alimentação e/ou vale refeição aos funcionários do CRCPR é realizada por meio de cartão magnético. O benefício é disponibilizado mensalmente no valor de R$ 45,00 (quarenta e um reais) recebidos por 22 dias mensais,</t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</si>
  <si>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</si>
  <si>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</si>
  <si>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Mês: 03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</si>
</sst>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7" sqref="A67:N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ht="16.5" x14ac:dyDescent="0.25">
      <c r="A2" s="118" t="s">
        <v>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ht="4.5" customHeight="1" thickBo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95" t="s">
        <v>58</v>
      </c>
      <c r="B5" s="97" t="s">
        <v>48</v>
      </c>
      <c r="C5" s="104" t="s">
        <v>87</v>
      </c>
      <c r="D5" s="101" t="s">
        <v>49</v>
      </c>
      <c r="E5" s="101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101" t="s">
        <v>52</v>
      </c>
      <c r="K5" s="101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96"/>
      <c r="B6" s="98"/>
      <c r="C6" s="105"/>
      <c r="D6" s="102"/>
      <c r="E6" s="102"/>
      <c r="F6" s="67" t="s">
        <v>90</v>
      </c>
      <c r="G6" s="69" t="s">
        <v>67</v>
      </c>
      <c r="H6" s="37" t="s">
        <v>64</v>
      </c>
      <c r="I6" s="57" t="s">
        <v>51</v>
      </c>
      <c r="J6" s="102"/>
      <c r="K6" s="102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10049.63+4924.32</f>
        <v>14973.949999999999</v>
      </c>
      <c r="C7" s="70">
        <v>4019.85</v>
      </c>
      <c r="D7" s="76"/>
      <c r="E7" s="76"/>
      <c r="F7" s="76"/>
      <c r="G7" s="76"/>
      <c r="H7" s="77"/>
      <c r="I7" s="40">
        <f t="shared" ref="I7:I42" si="0">SUM(B7:H7)-G7</f>
        <v>18993.8</v>
      </c>
      <c r="J7" s="10">
        <v>4105.7</v>
      </c>
      <c r="K7" s="10">
        <v>713.01</v>
      </c>
      <c r="L7" s="4">
        <f t="shared" ref="L7:L13" si="1">I7-J7-K7-P7</f>
        <v>774.7599999999984</v>
      </c>
      <c r="M7" s="3">
        <f>SUM(J7:L7)</f>
        <v>5593.4699999999984</v>
      </c>
      <c r="N7" s="52">
        <f>SUM(I7-M7)</f>
        <v>13400.330000000002</v>
      </c>
      <c r="O7" s="60"/>
      <c r="P7" s="61">
        <v>13400.33</v>
      </c>
    </row>
    <row r="8" spans="1:17" x14ac:dyDescent="0.25">
      <c r="A8" s="50" t="s">
        <v>1</v>
      </c>
      <c r="B8" s="44">
        <v>5138.68</v>
      </c>
      <c r="C8" s="71"/>
      <c r="D8" s="78"/>
      <c r="E8" s="78"/>
      <c r="F8" s="78"/>
      <c r="G8" s="78"/>
      <c r="H8" s="79"/>
      <c r="I8" s="41">
        <f t="shared" si="0"/>
        <v>5138.68</v>
      </c>
      <c r="J8" s="11">
        <v>389.94</v>
      </c>
      <c r="K8" s="11">
        <v>578.35</v>
      </c>
      <c r="L8" s="4">
        <f t="shared" si="1"/>
        <v>40.890000000000327</v>
      </c>
      <c r="M8" s="4">
        <f t="shared" ref="M8:M66" si="2">SUM(J8:L8)</f>
        <v>1009.1800000000003</v>
      </c>
      <c r="N8" s="53">
        <f t="shared" ref="N8:N66" si="3">SUM(I8-M8)</f>
        <v>4129.5</v>
      </c>
      <c r="O8" s="60"/>
      <c r="P8" s="61">
        <v>4129.5</v>
      </c>
    </row>
    <row r="9" spans="1:17" x14ac:dyDescent="0.25">
      <c r="A9" s="50" t="s">
        <v>2</v>
      </c>
      <c r="B9" s="44">
        <f>1272.35+76.34+130.83</f>
        <v>1479.5199999999998</v>
      </c>
      <c r="C9" s="71"/>
      <c r="D9" s="78"/>
      <c r="E9" s="78">
        <f>972.97+58.38+343.78</f>
        <v>1375.13</v>
      </c>
      <c r="F9" s="78"/>
      <c r="G9" s="78"/>
      <c r="H9" s="79"/>
      <c r="I9" s="41">
        <f t="shared" si="0"/>
        <v>2854.6499999999996</v>
      </c>
      <c r="J9" s="11"/>
      <c r="K9" s="11">
        <f>154.17+110.01</f>
        <v>264.18</v>
      </c>
      <c r="L9" s="4">
        <f t="shared" si="1"/>
        <v>2376.14</v>
      </c>
      <c r="M9" s="4">
        <f t="shared" si="2"/>
        <v>2640.3199999999997</v>
      </c>
      <c r="N9" s="53">
        <f t="shared" si="3"/>
        <v>214.32999999999993</v>
      </c>
      <c r="O9" s="60"/>
      <c r="P9" s="61">
        <v>214.33</v>
      </c>
    </row>
    <row r="10" spans="1:17" x14ac:dyDescent="0.25">
      <c r="A10" s="50" t="s">
        <v>83</v>
      </c>
      <c r="B10" s="44">
        <v>4135.09</v>
      </c>
      <c r="C10" s="71"/>
      <c r="D10" s="78"/>
      <c r="E10" s="78"/>
      <c r="F10" s="78"/>
      <c r="G10" s="78"/>
      <c r="H10" s="79"/>
      <c r="I10" s="41">
        <f t="shared" si="0"/>
        <v>4135.09</v>
      </c>
      <c r="J10" s="11">
        <v>205.07</v>
      </c>
      <c r="K10" s="11">
        <v>443.28</v>
      </c>
      <c r="L10" s="4">
        <f t="shared" ref="L10" si="4">I10-J10-K10-P10</f>
        <v>41.1899999999996</v>
      </c>
      <c r="M10" s="4">
        <f t="shared" ref="M10" si="5">SUM(J10:L10)</f>
        <v>689.53999999999951</v>
      </c>
      <c r="N10" s="53">
        <f t="shared" ref="N10" si="6">SUM(I10-M10)</f>
        <v>3445.5500000000006</v>
      </c>
      <c r="O10" s="60"/>
      <c r="P10" s="61">
        <v>3445.55</v>
      </c>
    </row>
    <row r="11" spans="1:17" x14ac:dyDescent="0.25">
      <c r="A11" s="50" t="s">
        <v>72</v>
      </c>
      <c r="B11" s="44">
        <f>1767.83+55.36</f>
        <v>1823.1899999999998</v>
      </c>
      <c r="C11" s="71">
        <f>1000+120</f>
        <v>1120</v>
      </c>
      <c r="D11" s="78"/>
      <c r="E11" s="78"/>
      <c r="F11" s="78"/>
      <c r="G11" s="78"/>
      <c r="H11" s="79"/>
      <c r="I11" s="41">
        <f t="shared" si="0"/>
        <v>2943.1899999999996</v>
      </c>
      <c r="J11" s="11">
        <v>57.33</v>
      </c>
      <c r="K11" s="11">
        <v>274.81</v>
      </c>
      <c r="L11" s="4">
        <f t="shared" si="1"/>
        <v>93.9699999999998</v>
      </c>
      <c r="M11" s="4">
        <f t="shared" si="2"/>
        <v>426.10999999999979</v>
      </c>
      <c r="N11" s="53">
        <f t="shared" si="3"/>
        <v>2517.08</v>
      </c>
      <c r="O11" s="60"/>
      <c r="P11" s="61">
        <v>2517.08</v>
      </c>
    </row>
    <row r="12" spans="1:17" x14ac:dyDescent="0.25">
      <c r="A12" s="50" t="s">
        <v>3</v>
      </c>
      <c r="B12" s="44">
        <v>2555.48</v>
      </c>
      <c r="C12" s="71"/>
      <c r="D12" s="78"/>
      <c r="E12" s="78"/>
      <c r="F12" s="78"/>
      <c r="G12" s="78"/>
      <c r="H12" s="79"/>
      <c r="I12" s="41">
        <f t="shared" si="0"/>
        <v>2555.48</v>
      </c>
      <c r="J12" s="11">
        <v>17.52</v>
      </c>
      <c r="K12" s="11">
        <v>228.28</v>
      </c>
      <c r="L12" s="4">
        <f t="shared" si="1"/>
        <v>821.54999999999973</v>
      </c>
      <c r="M12" s="4">
        <f t="shared" si="2"/>
        <v>1067.3499999999997</v>
      </c>
      <c r="N12" s="53">
        <f>SUM(I12-M12)+G12</f>
        <v>1488.1300000000003</v>
      </c>
      <c r="O12" s="60"/>
      <c r="P12" s="61">
        <v>1488.13</v>
      </c>
      <c r="Q12" s="1"/>
    </row>
    <row r="13" spans="1:17" x14ac:dyDescent="0.25">
      <c r="A13" s="50" t="s">
        <v>4</v>
      </c>
      <c r="B13" s="44">
        <v>3473.62</v>
      </c>
      <c r="C13" s="71"/>
      <c r="D13" s="78"/>
      <c r="E13" s="78"/>
      <c r="F13" s="78"/>
      <c r="G13" s="78"/>
      <c r="H13" s="79"/>
      <c r="I13" s="41">
        <f t="shared" si="0"/>
        <v>3473.62</v>
      </c>
      <c r="J13" s="11">
        <v>86.02</v>
      </c>
      <c r="K13" s="11">
        <v>345.24</v>
      </c>
      <c r="L13" s="4">
        <f t="shared" si="1"/>
        <v>995.03999999999974</v>
      </c>
      <c r="M13" s="4">
        <f t="shared" si="2"/>
        <v>1426.2999999999997</v>
      </c>
      <c r="N13" s="53">
        <f t="shared" si="3"/>
        <v>2047.3200000000002</v>
      </c>
      <c r="O13" s="60"/>
      <c r="P13" s="61">
        <v>2047.32</v>
      </c>
    </row>
    <row r="14" spans="1:17" x14ac:dyDescent="0.25">
      <c r="A14" s="50" t="s">
        <v>5</v>
      </c>
      <c r="B14" s="44">
        <f>11596.7+5740.37</f>
        <v>17337.07</v>
      </c>
      <c r="C14" s="71">
        <f>4638.68+1159.67+120</f>
        <v>5918.35</v>
      </c>
      <c r="D14" s="78"/>
      <c r="E14" s="78"/>
      <c r="F14" s="78"/>
      <c r="G14" s="78"/>
      <c r="H14" s="79"/>
      <c r="I14" s="41">
        <f t="shared" si="0"/>
        <v>23255.42</v>
      </c>
      <c r="J14" s="11">
        <v>5329.78</v>
      </c>
      <c r="K14" s="11">
        <v>713.08</v>
      </c>
      <c r="L14" s="4">
        <f>I14-J14-K14-P14</f>
        <v>104.31999999999607</v>
      </c>
      <c r="M14" s="4">
        <f t="shared" si="2"/>
        <v>6147.1799999999957</v>
      </c>
      <c r="N14" s="53">
        <f t="shared" si="3"/>
        <v>17108.240000000002</v>
      </c>
      <c r="O14" s="60"/>
      <c r="P14" s="61">
        <v>17108.240000000002</v>
      </c>
    </row>
    <row r="15" spans="1:17" x14ac:dyDescent="0.25">
      <c r="A15" s="50" t="s">
        <v>6</v>
      </c>
      <c r="B15" s="44">
        <f>10038.12+3372.81</f>
        <v>13410.93</v>
      </c>
      <c r="C15" s="71">
        <v>2007.62</v>
      </c>
      <c r="D15" s="78"/>
      <c r="E15" s="78"/>
      <c r="F15" s="78"/>
      <c r="G15" s="78"/>
      <c r="H15" s="79"/>
      <c r="I15" s="41">
        <f t="shared" si="0"/>
        <v>15418.55</v>
      </c>
      <c r="J15" s="11">
        <v>3122.51</v>
      </c>
      <c r="K15" s="11">
        <v>713.08</v>
      </c>
      <c r="L15" s="4">
        <f t="shared" ref="L15:L42" si="7">I15-J15-K15-P15</f>
        <v>232.32999999999993</v>
      </c>
      <c r="M15" s="4">
        <f t="shared" si="2"/>
        <v>4067.92</v>
      </c>
      <c r="N15" s="53">
        <f t="shared" si="3"/>
        <v>11350.63</v>
      </c>
      <c r="O15" s="60"/>
      <c r="P15" s="61">
        <v>11350.63</v>
      </c>
    </row>
    <row r="16" spans="1:17" x14ac:dyDescent="0.25">
      <c r="A16" s="50" t="s">
        <v>7</v>
      </c>
      <c r="B16" s="44">
        <f>11596.7+3247.08</f>
        <v>14843.78</v>
      </c>
      <c r="C16" s="71">
        <v>4638.68</v>
      </c>
      <c r="D16" s="78"/>
      <c r="E16" s="78"/>
      <c r="F16" s="78"/>
      <c r="G16" s="78"/>
      <c r="H16" s="79"/>
      <c r="I16" s="41">
        <f t="shared" si="0"/>
        <v>19482.46</v>
      </c>
      <c r="J16" s="11">
        <v>4240.08</v>
      </c>
      <c r="K16" s="11">
        <v>713.08</v>
      </c>
      <c r="L16" s="4">
        <f t="shared" si="7"/>
        <v>107.02999999999884</v>
      </c>
      <c r="M16" s="4">
        <f t="shared" si="2"/>
        <v>5060.1899999999987</v>
      </c>
      <c r="N16" s="53">
        <f t="shared" si="3"/>
        <v>14422.27</v>
      </c>
      <c r="O16" s="60"/>
      <c r="P16" s="61">
        <v>14422.27</v>
      </c>
    </row>
    <row r="17" spans="1:16" x14ac:dyDescent="0.25">
      <c r="A17" s="50" t="s">
        <v>8</v>
      </c>
      <c r="B17" s="44">
        <v>2355.38</v>
      </c>
      <c r="C17" s="71"/>
      <c r="D17" s="78"/>
      <c r="E17" s="78"/>
      <c r="F17" s="78"/>
      <c r="G17" s="78"/>
      <c r="H17" s="79"/>
      <c r="I17" s="41">
        <f t="shared" si="0"/>
        <v>2355.38</v>
      </c>
      <c r="J17" s="11">
        <v>18.53</v>
      </c>
      <c r="K17" s="11">
        <v>204.27</v>
      </c>
      <c r="L17" s="4">
        <f t="shared" si="7"/>
        <v>16.960000000000036</v>
      </c>
      <c r="M17" s="4">
        <f t="shared" si="2"/>
        <v>239.76000000000005</v>
      </c>
      <c r="N17" s="53">
        <f t="shared" si="3"/>
        <v>2115.62</v>
      </c>
      <c r="O17" s="60"/>
      <c r="P17" s="61">
        <v>2115.62</v>
      </c>
    </row>
    <row r="18" spans="1:16" x14ac:dyDescent="0.25">
      <c r="A18" s="50" t="s">
        <v>9</v>
      </c>
      <c r="B18" s="44">
        <v>2155.42</v>
      </c>
      <c r="C18" s="71"/>
      <c r="D18" s="78"/>
      <c r="E18" s="78"/>
      <c r="F18" s="78"/>
      <c r="G18" s="78"/>
      <c r="H18" s="79"/>
      <c r="I18" s="41">
        <f t="shared" si="0"/>
        <v>2155.42</v>
      </c>
      <c r="J18" s="11"/>
      <c r="K18" s="11">
        <v>180.28</v>
      </c>
      <c r="L18" s="4">
        <f t="shared" si="7"/>
        <v>118.0300000000002</v>
      </c>
      <c r="M18" s="4">
        <f t="shared" si="2"/>
        <v>298.31000000000017</v>
      </c>
      <c r="N18" s="53">
        <f t="shared" si="3"/>
        <v>1857.11</v>
      </c>
      <c r="O18" s="60"/>
      <c r="P18" s="61">
        <v>1857.11</v>
      </c>
    </row>
    <row r="19" spans="1:16" x14ac:dyDescent="0.25">
      <c r="A19" s="50" t="s">
        <v>82</v>
      </c>
      <c r="B19" s="44">
        <v>2609.88</v>
      </c>
      <c r="C19" s="71"/>
      <c r="D19" s="78"/>
      <c r="E19" s="78"/>
      <c r="F19" s="78"/>
      <c r="G19" s="78"/>
      <c r="H19" s="79"/>
      <c r="I19" s="41">
        <f t="shared" si="0"/>
        <v>2609.88</v>
      </c>
      <c r="J19" s="11">
        <v>21.11</v>
      </c>
      <c r="K19" s="11">
        <v>234.81</v>
      </c>
      <c r="L19" s="4">
        <f t="shared" si="7"/>
        <v>241.67000000000007</v>
      </c>
      <c r="M19" s="4">
        <f t="shared" si="2"/>
        <v>497.59000000000009</v>
      </c>
      <c r="N19" s="53">
        <f t="shared" si="3"/>
        <v>2112.29</v>
      </c>
      <c r="O19" s="60"/>
      <c r="P19" s="61">
        <v>2112.29</v>
      </c>
    </row>
    <row r="20" spans="1:16" x14ac:dyDescent="0.25">
      <c r="A20" s="50" t="s">
        <v>10</v>
      </c>
      <c r="B20" s="44">
        <f>4865.03+758.95</f>
        <v>5623.98</v>
      </c>
      <c r="C20" s="71">
        <v>973.01</v>
      </c>
      <c r="D20" s="78"/>
      <c r="E20" s="78"/>
      <c r="F20" s="78"/>
      <c r="G20" s="78"/>
      <c r="H20" s="79"/>
      <c r="I20" s="41">
        <f t="shared" si="0"/>
        <v>6596.99</v>
      </c>
      <c r="J20" s="11">
        <v>644.44000000000005</v>
      </c>
      <c r="K20" s="11">
        <v>713.08</v>
      </c>
      <c r="L20" s="4">
        <f t="shared" si="7"/>
        <v>369.15999999999894</v>
      </c>
      <c r="M20" s="4">
        <f t="shared" si="2"/>
        <v>1726.6799999999989</v>
      </c>
      <c r="N20" s="53">
        <f t="shared" si="3"/>
        <v>4870.3100000000013</v>
      </c>
      <c r="O20" s="60"/>
      <c r="P20" s="61">
        <v>4870.3100000000004</v>
      </c>
    </row>
    <row r="21" spans="1:16" x14ac:dyDescent="0.25">
      <c r="A21" s="50" t="s">
        <v>11</v>
      </c>
      <c r="B21" s="44">
        <f>1834.41+128.41</f>
        <v>1962.8200000000002</v>
      </c>
      <c r="C21" s="71"/>
      <c r="D21" s="78"/>
      <c r="E21" s="78">
        <f>366.88+25.68+130.85</f>
        <v>523.41</v>
      </c>
      <c r="F21" s="78"/>
      <c r="G21" s="78"/>
      <c r="H21" s="79"/>
      <c r="I21" s="41">
        <f t="shared" si="0"/>
        <v>2486.23</v>
      </c>
      <c r="J21" s="11"/>
      <c r="K21" s="11">
        <f>180.72+39.25</f>
        <v>219.97</v>
      </c>
      <c r="L21" s="4">
        <f t="shared" si="7"/>
        <v>490.11000000000013</v>
      </c>
      <c r="M21" s="4">
        <f t="shared" si="2"/>
        <v>710.08000000000015</v>
      </c>
      <c r="N21" s="53">
        <f t="shared" si="3"/>
        <v>1776.1499999999999</v>
      </c>
      <c r="O21" s="60"/>
      <c r="P21" s="61">
        <v>1776.15</v>
      </c>
    </row>
    <row r="22" spans="1:16" x14ac:dyDescent="0.25">
      <c r="A22" s="50" t="s">
        <v>12</v>
      </c>
      <c r="B22" s="44">
        <f>12788.71+6912.3</f>
        <v>19701.009999999998</v>
      </c>
      <c r="C22" s="71">
        <v>17264.759999999998</v>
      </c>
      <c r="D22" s="78"/>
      <c r="E22" s="78"/>
      <c r="F22" s="78"/>
      <c r="G22" s="78"/>
      <c r="H22" s="79"/>
      <c r="I22" s="41">
        <f t="shared" si="0"/>
        <v>36965.769999999997</v>
      </c>
      <c r="J22" s="11">
        <v>9100.1299999999992</v>
      </c>
      <c r="K22" s="11">
        <v>713.08</v>
      </c>
      <c r="L22" s="4">
        <f t="shared" si="7"/>
        <v>263.47999999999593</v>
      </c>
      <c r="M22" s="4">
        <f t="shared" si="2"/>
        <v>10076.689999999995</v>
      </c>
      <c r="N22" s="53">
        <f t="shared" si="3"/>
        <v>26889.08</v>
      </c>
      <c r="O22" s="60"/>
      <c r="P22" s="61">
        <v>26889.08</v>
      </c>
    </row>
    <row r="23" spans="1:16" x14ac:dyDescent="0.25">
      <c r="A23" s="50" t="s">
        <v>13</v>
      </c>
      <c r="B23" s="44">
        <f>11596.7+3479.01</f>
        <v>15075.710000000001</v>
      </c>
      <c r="C23" s="71">
        <v>2319.34</v>
      </c>
      <c r="D23" s="78"/>
      <c r="E23" s="78"/>
      <c r="F23" s="78"/>
      <c r="G23" s="78"/>
      <c r="H23" s="79"/>
      <c r="I23" s="41">
        <f t="shared" si="0"/>
        <v>17395.050000000003</v>
      </c>
      <c r="J23" s="11">
        <v>3666.04</v>
      </c>
      <c r="K23" s="11">
        <v>713.08</v>
      </c>
      <c r="L23" s="4">
        <f t="shared" si="7"/>
        <v>2144.8300000000017</v>
      </c>
      <c r="M23" s="4">
        <f t="shared" si="2"/>
        <v>6523.9500000000016</v>
      </c>
      <c r="N23" s="53">
        <f t="shared" si="3"/>
        <v>10871.100000000002</v>
      </c>
      <c r="O23" s="60"/>
      <c r="P23" s="61">
        <v>10871.1</v>
      </c>
    </row>
    <row r="24" spans="1:16" x14ac:dyDescent="0.25">
      <c r="A24" s="50" t="s">
        <v>14</v>
      </c>
      <c r="B24" s="44">
        <v>6109.91</v>
      </c>
      <c r="C24" s="71"/>
      <c r="D24" s="78"/>
      <c r="E24" s="78"/>
      <c r="F24" s="78"/>
      <c r="G24" s="78"/>
      <c r="H24" s="79"/>
      <c r="I24" s="41">
        <f t="shared" si="0"/>
        <v>6109.91</v>
      </c>
      <c r="J24" s="11">
        <v>510.49</v>
      </c>
      <c r="K24" s="11">
        <v>713.08</v>
      </c>
      <c r="L24" s="4">
        <f t="shared" si="7"/>
        <v>1281.2200000000003</v>
      </c>
      <c r="M24" s="4">
        <f t="shared" si="2"/>
        <v>2504.7900000000004</v>
      </c>
      <c r="N24" s="53">
        <f t="shared" si="3"/>
        <v>3605.1199999999994</v>
      </c>
      <c r="O24" s="60"/>
      <c r="P24" s="61">
        <v>3605.12</v>
      </c>
    </row>
    <row r="25" spans="1:16" x14ac:dyDescent="0.25">
      <c r="A25" s="50" t="s">
        <v>69</v>
      </c>
      <c r="B25" s="44">
        <f>2688.44+53.77</f>
        <v>2742.21</v>
      </c>
      <c r="C25" s="71"/>
      <c r="D25" s="78"/>
      <c r="E25" s="78"/>
      <c r="F25" s="78"/>
      <c r="G25" s="78"/>
      <c r="H25" s="79"/>
      <c r="I25" s="41">
        <f t="shared" si="0"/>
        <v>2742.21</v>
      </c>
      <c r="J25" s="11">
        <v>44.06</v>
      </c>
      <c r="K25" s="11">
        <v>250.69</v>
      </c>
      <c r="L25" s="4">
        <f t="shared" si="7"/>
        <v>101.80999999999995</v>
      </c>
      <c r="M25" s="4">
        <f t="shared" si="2"/>
        <v>396.55999999999995</v>
      </c>
      <c r="N25" s="53">
        <f t="shared" si="3"/>
        <v>2345.65</v>
      </c>
      <c r="O25" s="60"/>
      <c r="P25" s="61">
        <v>2345.65</v>
      </c>
    </row>
    <row r="26" spans="1:16" x14ac:dyDescent="0.25">
      <c r="A26" s="50" t="s">
        <v>15</v>
      </c>
      <c r="B26" s="44">
        <f>11596.7+3479.01</f>
        <v>15075.710000000001</v>
      </c>
      <c r="C26" s="71">
        <v>2319.34</v>
      </c>
      <c r="D26" s="78"/>
      <c r="E26" s="78"/>
      <c r="F26" s="78"/>
      <c r="G26" s="78"/>
      <c r="H26" s="79"/>
      <c r="I26" s="41">
        <f t="shared" si="0"/>
        <v>17395.050000000003</v>
      </c>
      <c r="J26" s="11">
        <v>3666.04</v>
      </c>
      <c r="K26" s="11">
        <v>713.08</v>
      </c>
      <c r="L26" s="4">
        <f t="shared" si="7"/>
        <v>4170.5400000000027</v>
      </c>
      <c r="M26" s="4">
        <f t="shared" si="2"/>
        <v>8549.6600000000035</v>
      </c>
      <c r="N26" s="53">
        <f t="shared" si="3"/>
        <v>8845.39</v>
      </c>
      <c r="O26" s="60"/>
      <c r="P26" s="61">
        <v>8845.39</v>
      </c>
    </row>
    <row r="27" spans="1:16" x14ac:dyDescent="0.25">
      <c r="A27" s="50" t="s">
        <v>16</v>
      </c>
      <c r="B27" s="44">
        <v>6513.87</v>
      </c>
      <c r="C27" s="71"/>
      <c r="D27" s="78"/>
      <c r="E27" s="78"/>
      <c r="F27" s="78"/>
      <c r="G27" s="78"/>
      <c r="H27" s="79"/>
      <c r="I27" s="41">
        <f t="shared" si="0"/>
        <v>6513.87</v>
      </c>
      <c r="J27" s="11">
        <v>621.58000000000004</v>
      </c>
      <c r="K27" s="11">
        <v>713.08</v>
      </c>
      <c r="L27" s="4">
        <f t="shared" si="7"/>
        <v>5.9499999999998181</v>
      </c>
      <c r="M27" s="4">
        <f t="shared" si="2"/>
        <v>1340.61</v>
      </c>
      <c r="N27" s="53">
        <f>SUM(I27-M27)+G27</f>
        <v>5173.26</v>
      </c>
      <c r="O27" s="60"/>
      <c r="P27" s="61">
        <v>5173.26</v>
      </c>
    </row>
    <row r="28" spans="1:16" x14ac:dyDescent="0.25">
      <c r="A28" s="50" t="s">
        <v>17</v>
      </c>
      <c r="B28" s="44">
        <v>7120.64</v>
      </c>
      <c r="C28" s="71"/>
      <c r="D28" s="78"/>
      <c r="E28" s="78"/>
      <c r="F28" s="78"/>
      <c r="G28" s="78"/>
      <c r="H28" s="79"/>
      <c r="I28" s="41">
        <f t="shared" si="0"/>
        <v>7120.64</v>
      </c>
      <c r="J28" s="11">
        <v>892.72</v>
      </c>
      <c r="K28" s="11">
        <v>713.08</v>
      </c>
      <c r="L28" s="4">
        <f t="shared" si="7"/>
        <v>5.9499999999998181</v>
      </c>
      <c r="M28" s="4">
        <f t="shared" si="2"/>
        <v>1611.75</v>
      </c>
      <c r="N28" s="53">
        <f t="shared" si="3"/>
        <v>5508.89</v>
      </c>
      <c r="O28" s="60"/>
      <c r="P28" s="61">
        <v>5508.89</v>
      </c>
    </row>
    <row r="29" spans="1:16" x14ac:dyDescent="0.25">
      <c r="A29" s="50" t="s">
        <v>18</v>
      </c>
      <c r="B29" s="45">
        <f>2117.43+148.22</f>
        <v>2265.6499999999996</v>
      </c>
      <c r="C29" s="72"/>
      <c r="D29" s="78"/>
      <c r="E29" s="78"/>
      <c r="F29" s="78"/>
      <c r="G29" s="78"/>
      <c r="H29" s="79"/>
      <c r="I29" s="41">
        <f t="shared" si="0"/>
        <v>2265.6499999999996</v>
      </c>
      <c r="J29" s="11">
        <v>12.61</v>
      </c>
      <c r="K29" s="11">
        <v>193.5</v>
      </c>
      <c r="L29" s="4">
        <f t="shared" si="7"/>
        <v>569.67999999999961</v>
      </c>
      <c r="M29" s="4">
        <f t="shared" si="2"/>
        <v>775.78999999999962</v>
      </c>
      <c r="N29" s="53">
        <f t="shared" si="3"/>
        <v>1489.8600000000001</v>
      </c>
      <c r="O29" s="60"/>
      <c r="P29" s="61">
        <v>1489.86</v>
      </c>
    </row>
    <row r="30" spans="1:16" x14ac:dyDescent="0.25">
      <c r="A30" s="50" t="s">
        <v>19</v>
      </c>
      <c r="B30" s="44">
        <f>2217.06+643.41</f>
        <v>2860.47</v>
      </c>
      <c r="C30" s="71">
        <v>1000</v>
      </c>
      <c r="D30" s="78"/>
      <c r="E30" s="78">
        <f>466.66+1939.93+481.32+962.64</f>
        <v>3850.55</v>
      </c>
      <c r="F30" s="78"/>
      <c r="G30" s="78">
        <f>2078.5+515.7+500</f>
        <v>3094.2</v>
      </c>
      <c r="H30" s="79"/>
      <c r="I30" s="41">
        <f t="shared" si="0"/>
        <v>7711.0200000000013</v>
      </c>
      <c r="J30" s="11">
        <f>141.29+85.05</f>
        <v>226.33999999999997</v>
      </c>
      <c r="K30" s="11">
        <v>713.08</v>
      </c>
      <c r="L30" s="4">
        <f t="shared" si="7"/>
        <v>3404.3100000000013</v>
      </c>
      <c r="M30" s="4">
        <f t="shared" si="2"/>
        <v>4343.7300000000014</v>
      </c>
      <c r="N30" s="53">
        <f t="shared" si="3"/>
        <v>3367.29</v>
      </c>
      <c r="O30" s="60"/>
      <c r="P30" s="61">
        <v>3367.29</v>
      </c>
    </row>
    <row r="31" spans="1:16" x14ac:dyDescent="0.25">
      <c r="A31" s="50" t="s">
        <v>20</v>
      </c>
      <c r="B31" s="44">
        <v>5974.71</v>
      </c>
      <c r="C31" s="71"/>
      <c r="D31" s="78"/>
      <c r="E31" s="78"/>
      <c r="F31" s="78"/>
      <c r="G31" s="78"/>
      <c r="H31" s="79"/>
      <c r="I31" s="41">
        <f t="shared" si="0"/>
        <v>5974.71</v>
      </c>
      <c r="J31" s="11">
        <v>582.45000000000005</v>
      </c>
      <c r="K31" s="11">
        <v>695.39</v>
      </c>
      <c r="L31" s="4">
        <f t="shared" si="7"/>
        <v>215.44999999999982</v>
      </c>
      <c r="M31" s="4">
        <f t="shared" si="2"/>
        <v>1493.29</v>
      </c>
      <c r="N31" s="53">
        <f t="shared" si="3"/>
        <v>4481.42</v>
      </c>
      <c r="O31" s="60"/>
      <c r="P31" s="61">
        <v>4481.42</v>
      </c>
    </row>
    <row r="32" spans="1:16" x14ac:dyDescent="0.25">
      <c r="A32" s="50" t="s">
        <v>21</v>
      </c>
      <c r="B32" s="44">
        <v>7019.25</v>
      </c>
      <c r="C32" s="71"/>
      <c r="D32" s="78"/>
      <c r="E32" s="78"/>
      <c r="F32" s="78"/>
      <c r="G32" s="78"/>
      <c r="H32" s="79"/>
      <c r="I32" s="41">
        <f t="shared" si="0"/>
        <v>7019.25</v>
      </c>
      <c r="J32" s="11">
        <v>864.84</v>
      </c>
      <c r="K32" s="11">
        <v>713.08</v>
      </c>
      <c r="L32" s="4">
        <f t="shared" si="7"/>
        <v>1381</v>
      </c>
      <c r="M32" s="4">
        <f t="shared" si="2"/>
        <v>2958.92</v>
      </c>
      <c r="N32" s="53">
        <f t="shared" si="3"/>
        <v>4060.33</v>
      </c>
      <c r="O32" s="60"/>
      <c r="P32" s="61">
        <v>4060.33</v>
      </c>
    </row>
    <row r="33" spans="1:16" x14ac:dyDescent="0.25">
      <c r="A33" s="50" t="s">
        <v>74</v>
      </c>
      <c r="B33" s="44">
        <v>4341.9399999999996</v>
      </c>
      <c r="C33" s="71"/>
      <c r="D33" s="78"/>
      <c r="E33" s="78"/>
      <c r="F33" s="78"/>
      <c r="G33" s="78"/>
      <c r="H33" s="79"/>
      <c r="I33" s="41">
        <f t="shared" si="0"/>
        <v>4341.9399999999996</v>
      </c>
      <c r="J33" s="11">
        <v>235.77</v>
      </c>
      <c r="K33" s="11">
        <v>466.81</v>
      </c>
      <c r="L33" s="4">
        <f t="shared" ref="L33" si="8">I33-J33-K33-P33</f>
        <v>40.889999999999418</v>
      </c>
      <c r="M33" s="4">
        <f t="shared" ref="M33" si="9">SUM(J33:L33)</f>
        <v>743.46999999999946</v>
      </c>
      <c r="N33" s="53">
        <f>SUM(I33-M33)+G33</f>
        <v>3598.4700000000003</v>
      </c>
      <c r="O33" s="60"/>
      <c r="P33" s="61">
        <v>3598.47</v>
      </c>
    </row>
    <row r="34" spans="1:16" x14ac:dyDescent="0.25">
      <c r="A34" s="50" t="s">
        <v>22</v>
      </c>
      <c r="B34" s="44">
        <f>1053.96+210.79</f>
        <v>1264.75</v>
      </c>
      <c r="C34" s="71"/>
      <c r="D34" s="78"/>
      <c r="E34" s="78">
        <f>610.19+122.04+244.08</f>
        <v>976.31000000000006</v>
      </c>
      <c r="F34" s="78">
        <f>554.72+110.94+221.89</f>
        <v>887.55000000000007</v>
      </c>
      <c r="G34" s="78"/>
      <c r="H34" s="79"/>
      <c r="I34" s="41">
        <f t="shared" si="0"/>
        <v>3128.61</v>
      </c>
      <c r="J34" s="11"/>
      <c r="K34" s="11">
        <f>112.45+78.1</f>
        <v>190.55</v>
      </c>
      <c r="L34" s="4">
        <f t="shared" si="7"/>
        <v>1891.56</v>
      </c>
      <c r="M34" s="4">
        <f t="shared" si="2"/>
        <v>2082.11</v>
      </c>
      <c r="N34" s="53">
        <f>SUM(I34-M34)+G34</f>
        <v>1046.5</v>
      </c>
      <c r="O34" s="60"/>
      <c r="P34" s="61">
        <v>1046.5</v>
      </c>
    </row>
    <row r="35" spans="1:16" x14ac:dyDescent="0.25">
      <c r="A35" s="50" t="s">
        <v>23</v>
      </c>
      <c r="B35" s="44">
        <f>3078.14+406.31</f>
        <v>3484.45</v>
      </c>
      <c r="C35" s="71">
        <v>615.63</v>
      </c>
      <c r="D35" s="78"/>
      <c r="E35" s="78">
        <f>356.43+1782.08+235.23+791.24</f>
        <v>3164.9799999999996</v>
      </c>
      <c r="F35" s="78"/>
      <c r="G35" s="78"/>
      <c r="H35" s="79"/>
      <c r="I35" s="41">
        <f t="shared" si="0"/>
        <v>7265.0599999999995</v>
      </c>
      <c r="J35" s="11">
        <v>205.47</v>
      </c>
      <c r="K35" s="11">
        <f>364.94+348.14</f>
        <v>713.07999999999993</v>
      </c>
      <c r="L35" s="4">
        <f t="shared" si="7"/>
        <v>2525.5999999999995</v>
      </c>
      <c r="M35" s="4">
        <f t="shared" si="2"/>
        <v>3444.1499999999996</v>
      </c>
      <c r="N35" s="53">
        <f t="shared" si="3"/>
        <v>3820.91</v>
      </c>
      <c r="O35" s="60"/>
      <c r="P35" s="61">
        <v>3820.91</v>
      </c>
    </row>
    <row r="36" spans="1:16" x14ac:dyDescent="0.25">
      <c r="A36" s="50" t="s">
        <v>24</v>
      </c>
      <c r="B36" s="44">
        <f>11596.7+3479.01</f>
        <v>15075.710000000001</v>
      </c>
      <c r="C36" s="71">
        <v>2319.34</v>
      </c>
      <c r="D36" s="78"/>
      <c r="E36" s="78"/>
      <c r="F36" s="78"/>
      <c r="G36" s="78"/>
      <c r="H36" s="79"/>
      <c r="I36" s="41">
        <f t="shared" si="0"/>
        <v>17395.050000000003</v>
      </c>
      <c r="J36" s="11">
        <v>3666.04</v>
      </c>
      <c r="K36" s="11">
        <v>713.08</v>
      </c>
      <c r="L36" s="4">
        <f t="shared" si="7"/>
        <v>539.32000000000153</v>
      </c>
      <c r="M36" s="4">
        <f t="shared" si="2"/>
        <v>4918.4400000000014</v>
      </c>
      <c r="N36" s="53">
        <f>SUM(I36-M36)+G36</f>
        <v>12476.61</v>
      </c>
      <c r="O36" s="60"/>
      <c r="P36" s="61">
        <v>12476.61</v>
      </c>
    </row>
    <row r="37" spans="1:16" x14ac:dyDescent="0.25">
      <c r="A37" s="50" t="s">
        <v>25</v>
      </c>
      <c r="B37" s="44">
        <f>11596.7+3200.69</f>
        <v>14797.390000000001</v>
      </c>
      <c r="C37" s="71">
        <v>2319.34</v>
      </c>
      <c r="D37" s="78"/>
      <c r="E37" s="78"/>
      <c r="F37" s="78"/>
      <c r="G37" s="78"/>
      <c r="H37" s="79"/>
      <c r="I37" s="41">
        <f t="shared" si="0"/>
        <v>17116.730000000003</v>
      </c>
      <c r="J37" s="11">
        <v>3589.51</v>
      </c>
      <c r="K37" s="11">
        <v>713.08</v>
      </c>
      <c r="L37" s="4">
        <f t="shared" si="7"/>
        <v>5.9500000000025466</v>
      </c>
      <c r="M37" s="4">
        <f t="shared" si="2"/>
        <v>4308.5400000000027</v>
      </c>
      <c r="N37" s="53">
        <f t="shared" si="3"/>
        <v>12808.19</v>
      </c>
      <c r="O37" s="60"/>
      <c r="P37" s="61">
        <v>12808.19</v>
      </c>
    </row>
    <row r="38" spans="1:16" x14ac:dyDescent="0.25">
      <c r="A38" s="50" t="s">
        <v>75</v>
      </c>
      <c r="B38" s="44">
        <f>4769.64+572.36</f>
        <v>5342</v>
      </c>
      <c r="C38" s="71">
        <v>953.93</v>
      </c>
      <c r="D38" s="78"/>
      <c r="E38" s="78"/>
      <c r="F38" s="78"/>
      <c r="G38" s="78"/>
      <c r="H38" s="79"/>
      <c r="I38" s="41">
        <f t="shared" si="0"/>
        <v>6295.93</v>
      </c>
      <c r="J38" s="11">
        <v>665.92</v>
      </c>
      <c r="K38" s="11">
        <v>713.08</v>
      </c>
      <c r="L38" s="4">
        <f t="shared" si="7"/>
        <v>191.61999999999989</v>
      </c>
      <c r="M38" s="4">
        <f t="shared" si="2"/>
        <v>1570.62</v>
      </c>
      <c r="N38" s="53">
        <f t="shared" si="3"/>
        <v>4725.3100000000004</v>
      </c>
      <c r="O38" s="60"/>
      <c r="P38" s="61">
        <v>4725.3100000000004</v>
      </c>
    </row>
    <row r="39" spans="1:16" x14ac:dyDescent="0.25">
      <c r="A39" s="50" t="s">
        <v>26</v>
      </c>
      <c r="B39" s="44">
        <f>4508.42+324.61</f>
        <v>4833.03</v>
      </c>
      <c r="C39" s="71">
        <v>901.68</v>
      </c>
      <c r="D39" s="78"/>
      <c r="E39" s="78"/>
      <c r="F39" s="78"/>
      <c r="G39" s="78"/>
      <c r="H39" s="79"/>
      <c r="I39" s="41">
        <f t="shared" si="0"/>
        <v>5734.71</v>
      </c>
      <c r="J39" s="11">
        <v>421.42</v>
      </c>
      <c r="K39" s="11">
        <v>661.79</v>
      </c>
      <c r="L39" s="4">
        <f t="shared" si="7"/>
        <v>1408.0700000000002</v>
      </c>
      <c r="M39" s="4">
        <f t="shared" si="2"/>
        <v>2491.2800000000002</v>
      </c>
      <c r="N39" s="53">
        <f>SUM(I39-M39)+G39</f>
        <v>3243.43</v>
      </c>
      <c r="O39" s="60"/>
      <c r="P39" s="61">
        <v>3243.43</v>
      </c>
    </row>
    <row r="40" spans="1:16" x14ac:dyDescent="0.25">
      <c r="A40" s="50" t="s">
        <v>71</v>
      </c>
      <c r="B40" s="44">
        <v>1803.19</v>
      </c>
      <c r="C40" s="71"/>
      <c r="D40" s="78"/>
      <c r="E40" s="78"/>
      <c r="F40" s="78"/>
      <c r="G40" s="78"/>
      <c r="H40" s="79"/>
      <c r="I40" s="41">
        <f t="shared" si="0"/>
        <v>1803.19</v>
      </c>
      <c r="J40" s="11"/>
      <c r="K40" s="11">
        <v>146.6</v>
      </c>
      <c r="L40" s="4">
        <f t="shared" ref="L40" si="10">I40-J40-K40-P40</f>
        <v>14.790000000000191</v>
      </c>
      <c r="M40" s="4">
        <f t="shared" ref="M40" si="11">SUM(J40:L40)</f>
        <v>161.39000000000019</v>
      </c>
      <c r="N40" s="53">
        <f t="shared" ref="N40" si="12">SUM(I40-M40)</f>
        <v>1641.8</v>
      </c>
      <c r="O40" s="60"/>
      <c r="P40" s="61">
        <v>1641.8</v>
      </c>
    </row>
    <row r="41" spans="1:16" x14ac:dyDescent="0.25">
      <c r="A41" s="50" t="s">
        <v>27</v>
      </c>
      <c r="B41" s="44">
        <v>2892.6</v>
      </c>
      <c r="C41" s="71"/>
      <c r="D41" s="78"/>
      <c r="E41" s="78"/>
      <c r="F41" s="78"/>
      <c r="G41" s="78"/>
      <c r="H41" s="79"/>
      <c r="I41" s="41">
        <f t="shared" si="0"/>
        <v>2892.6</v>
      </c>
      <c r="J41" s="11">
        <v>53.99</v>
      </c>
      <c r="K41" s="11">
        <v>268.74</v>
      </c>
      <c r="L41" s="4">
        <f t="shared" si="7"/>
        <v>825.34999999999991</v>
      </c>
      <c r="M41" s="4">
        <f t="shared" si="2"/>
        <v>1148.08</v>
      </c>
      <c r="N41" s="53">
        <f t="shared" si="3"/>
        <v>1744.52</v>
      </c>
      <c r="O41" s="60"/>
      <c r="P41" s="61">
        <v>1744.52</v>
      </c>
    </row>
    <row r="42" spans="1:16" ht="15.75" thickBot="1" x14ac:dyDescent="0.3">
      <c r="A42" s="50" t="s">
        <v>28</v>
      </c>
      <c r="B42" s="46">
        <f>11596.7+3339.85</f>
        <v>14936.550000000001</v>
      </c>
      <c r="C42" s="73">
        <v>2319.34</v>
      </c>
      <c r="D42" s="78"/>
      <c r="E42" s="78"/>
      <c r="F42" s="78"/>
      <c r="G42" s="78"/>
      <c r="H42" s="79"/>
      <c r="I42" s="42">
        <f t="shared" si="0"/>
        <v>17255.89</v>
      </c>
      <c r="J42" s="11">
        <v>3575.64</v>
      </c>
      <c r="K42" s="11">
        <v>713.08</v>
      </c>
      <c r="L42" s="4">
        <f t="shared" si="7"/>
        <v>62.950000000000728</v>
      </c>
      <c r="M42" s="4">
        <f t="shared" si="2"/>
        <v>4351.670000000001</v>
      </c>
      <c r="N42" s="54">
        <f t="shared" si="3"/>
        <v>12904.219999999998</v>
      </c>
      <c r="O42" s="60"/>
      <c r="P42" s="61">
        <v>12904.22</v>
      </c>
    </row>
    <row r="43" spans="1:16" x14ac:dyDescent="0.25">
      <c r="A43" s="95" t="s">
        <v>58</v>
      </c>
      <c r="B43" s="97" t="s">
        <v>48</v>
      </c>
      <c r="C43" s="104" t="s">
        <v>87</v>
      </c>
      <c r="D43" s="101" t="s">
        <v>49</v>
      </c>
      <c r="E43" s="101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99" t="s">
        <v>52</v>
      </c>
      <c r="K43" s="99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96"/>
      <c r="B44" s="98"/>
      <c r="C44" s="105"/>
      <c r="D44" s="102"/>
      <c r="E44" s="102"/>
      <c r="F44" s="67" t="s">
        <v>90</v>
      </c>
      <c r="G44" s="69" t="s">
        <v>67</v>
      </c>
      <c r="H44" s="37" t="s">
        <v>64</v>
      </c>
      <c r="I44" s="57" t="s">
        <v>51</v>
      </c>
      <c r="J44" s="100"/>
      <c r="K44" s="100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v>1984.95</v>
      </c>
      <c r="C45" s="74"/>
      <c r="D45" s="78"/>
      <c r="E45" s="78"/>
      <c r="F45" s="78"/>
      <c r="G45" s="78"/>
      <c r="H45" s="79"/>
      <c r="I45" s="47">
        <f t="shared" ref="I45:I66" si="13">SUM(B45:H45)-G45</f>
        <v>1984.95</v>
      </c>
      <c r="J45" s="11"/>
      <c r="K45" s="11">
        <v>162.96</v>
      </c>
      <c r="L45" s="4">
        <f t="shared" ref="L45:L66" si="14">I45-J45-K45-P45</f>
        <v>683.41000000000008</v>
      </c>
      <c r="M45" s="4">
        <f t="shared" si="2"/>
        <v>846.37000000000012</v>
      </c>
      <c r="N45" s="55">
        <f t="shared" si="3"/>
        <v>1138.58</v>
      </c>
      <c r="O45" s="60"/>
      <c r="P45" s="61">
        <v>1138.58</v>
      </c>
    </row>
    <row r="46" spans="1:16" x14ac:dyDescent="0.25">
      <c r="A46" s="50" t="s">
        <v>30</v>
      </c>
      <c r="B46" s="44">
        <v>4056.05</v>
      </c>
      <c r="C46" s="71">
        <v>150</v>
      </c>
      <c r="D46" s="78"/>
      <c r="E46" s="78"/>
      <c r="F46" s="78"/>
      <c r="G46" s="78"/>
      <c r="H46" s="80"/>
      <c r="I46" s="41">
        <f t="shared" si="13"/>
        <v>4206.05</v>
      </c>
      <c r="J46" s="11">
        <v>209.48</v>
      </c>
      <c r="K46" s="11">
        <v>447.78</v>
      </c>
      <c r="L46" s="4">
        <f t="shared" si="14"/>
        <v>436.27999999999975</v>
      </c>
      <c r="M46" s="4">
        <f t="shared" si="2"/>
        <v>1093.5399999999997</v>
      </c>
      <c r="N46" s="53">
        <f t="shared" si="3"/>
        <v>3112.51</v>
      </c>
      <c r="O46" s="60"/>
      <c r="P46" s="61">
        <v>3112.51</v>
      </c>
    </row>
    <row r="47" spans="1:16" x14ac:dyDescent="0.25">
      <c r="A47" s="50" t="s">
        <v>31</v>
      </c>
      <c r="B47" s="44">
        <f>7606.75+988.88</f>
        <v>8595.6299999999992</v>
      </c>
      <c r="C47" s="71"/>
      <c r="D47" s="78"/>
      <c r="E47" s="78"/>
      <c r="F47" s="78"/>
      <c r="G47" s="78"/>
      <c r="H47" s="80">
        <v>7847.12</v>
      </c>
      <c r="I47" s="41">
        <f t="shared" si="13"/>
        <v>16442.75</v>
      </c>
      <c r="J47" s="11">
        <v>3404.16</v>
      </c>
      <c r="K47" s="11">
        <v>713.08</v>
      </c>
      <c r="L47" s="4">
        <f t="shared" si="14"/>
        <v>578.64999999999964</v>
      </c>
      <c r="M47" s="4">
        <f t="shared" si="2"/>
        <v>4695.8899999999994</v>
      </c>
      <c r="N47" s="53">
        <f t="shared" si="3"/>
        <v>11746.86</v>
      </c>
      <c r="O47" s="60"/>
      <c r="P47" s="61">
        <v>11746.86</v>
      </c>
    </row>
    <row r="48" spans="1:16" x14ac:dyDescent="0.25">
      <c r="A48" s="50" t="s">
        <v>32</v>
      </c>
      <c r="B48" s="44">
        <f>5118.87+1648.28</f>
        <v>6767.15</v>
      </c>
      <c r="C48" s="71">
        <f>2047.55+50</f>
        <v>2097.5500000000002</v>
      </c>
      <c r="D48" s="78"/>
      <c r="E48" s="78"/>
      <c r="F48" s="78"/>
      <c r="G48" s="78"/>
      <c r="H48" s="80"/>
      <c r="I48" s="41">
        <f t="shared" si="13"/>
        <v>8864.7000000000007</v>
      </c>
      <c r="J48" s="11">
        <v>1268.06</v>
      </c>
      <c r="K48" s="11">
        <v>713.08</v>
      </c>
      <c r="L48" s="4">
        <f>I48-J48-K48-P48</f>
        <v>834.14000000000124</v>
      </c>
      <c r="M48" s="4">
        <f>SUM(J48:L48)</f>
        <v>2815.2800000000011</v>
      </c>
      <c r="N48" s="53">
        <f t="shared" si="3"/>
        <v>6049.42</v>
      </c>
      <c r="O48" s="60"/>
      <c r="P48" s="61">
        <v>6049.42</v>
      </c>
    </row>
    <row r="49" spans="1:16" x14ac:dyDescent="0.25">
      <c r="A49" s="50" t="s">
        <v>33</v>
      </c>
      <c r="B49" s="44">
        <f>4769.64+744.06</f>
        <v>5513.7000000000007</v>
      </c>
      <c r="C49" s="71">
        <v>953.93</v>
      </c>
      <c r="D49" s="78"/>
      <c r="E49" s="78"/>
      <c r="F49" s="78"/>
      <c r="G49" s="78"/>
      <c r="H49" s="80"/>
      <c r="I49" s="41">
        <f t="shared" si="13"/>
        <v>6467.630000000001</v>
      </c>
      <c r="J49" s="11">
        <v>608.87</v>
      </c>
      <c r="K49" s="11">
        <v>713.08</v>
      </c>
      <c r="L49" s="4">
        <f t="shared" si="14"/>
        <v>420.94000000000142</v>
      </c>
      <c r="M49" s="4">
        <f t="shared" si="2"/>
        <v>1742.8900000000015</v>
      </c>
      <c r="N49" s="53">
        <f t="shared" si="3"/>
        <v>4724.74</v>
      </c>
      <c r="O49" s="60"/>
      <c r="P49" s="61">
        <v>4724.74</v>
      </c>
    </row>
    <row r="50" spans="1:16" x14ac:dyDescent="0.25">
      <c r="A50" s="50" t="s">
        <v>34</v>
      </c>
      <c r="B50" s="44">
        <v>6656.53</v>
      </c>
      <c r="C50" s="71"/>
      <c r="D50" s="78"/>
      <c r="E50" s="78"/>
      <c r="F50" s="78"/>
      <c r="G50" s="78"/>
      <c r="H50" s="80"/>
      <c r="I50" s="41">
        <f t="shared" si="13"/>
        <v>6656.53</v>
      </c>
      <c r="J50" s="11">
        <v>712.95</v>
      </c>
      <c r="K50" s="11">
        <v>713.08</v>
      </c>
      <c r="L50" s="4">
        <f t="shared" si="14"/>
        <v>785.30000000000018</v>
      </c>
      <c r="M50" s="4">
        <f t="shared" si="2"/>
        <v>2211.3300000000004</v>
      </c>
      <c r="N50" s="53">
        <f>SUM(I50-M50)+G50</f>
        <v>4445.1999999999989</v>
      </c>
      <c r="O50" s="60"/>
      <c r="P50" s="61">
        <v>4445.2</v>
      </c>
    </row>
    <row r="51" spans="1:16" x14ac:dyDescent="0.25">
      <c r="A51" s="50" t="s">
        <v>35</v>
      </c>
      <c r="B51" s="44">
        <f>4769.64+572.36</f>
        <v>5342</v>
      </c>
      <c r="C51" s="71">
        <v>953.93</v>
      </c>
      <c r="D51" s="78"/>
      <c r="E51" s="78">
        <v>27.97</v>
      </c>
      <c r="F51" s="78"/>
      <c r="G51" s="78"/>
      <c r="H51" s="80"/>
      <c r="I51" s="41">
        <f t="shared" si="13"/>
        <v>6323.9000000000005</v>
      </c>
      <c r="J51" s="11">
        <v>621.48</v>
      </c>
      <c r="K51" s="11">
        <v>713.08</v>
      </c>
      <c r="L51" s="4">
        <f t="shared" si="14"/>
        <v>1314.29</v>
      </c>
      <c r="M51" s="4">
        <f t="shared" si="2"/>
        <v>2648.85</v>
      </c>
      <c r="N51" s="53">
        <f>SUM(I51-M51)+G51</f>
        <v>3675.0500000000006</v>
      </c>
      <c r="O51" s="60"/>
      <c r="P51" s="61">
        <v>3675.05</v>
      </c>
    </row>
    <row r="52" spans="1:16" x14ac:dyDescent="0.25">
      <c r="A52" s="50" t="s">
        <v>36</v>
      </c>
      <c r="B52" s="44">
        <v>4012.89</v>
      </c>
      <c r="C52" s="71"/>
      <c r="D52" s="78"/>
      <c r="E52" s="78"/>
      <c r="F52" s="78"/>
      <c r="G52" s="78"/>
      <c r="H52" s="80"/>
      <c r="I52" s="41">
        <f t="shared" si="13"/>
        <v>4012.89</v>
      </c>
      <c r="J52" s="11">
        <v>127.15</v>
      </c>
      <c r="K52" s="11">
        <v>420.74</v>
      </c>
      <c r="L52" s="4">
        <f t="shared" si="14"/>
        <v>869.02</v>
      </c>
      <c r="M52" s="4">
        <f t="shared" si="2"/>
        <v>1416.9099999999999</v>
      </c>
      <c r="N52" s="53">
        <f t="shared" si="3"/>
        <v>2595.98</v>
      </c>
      <c r="O52" s="60"/>
      <c r="P52" s="61">
        <v>2595.98</v>
      </c>
    </row>
    <row r="53" spans="1:16" x14ac:dyDescent="0.25">
      <c r="A53" s="50" t="s">
        <v>85</v>
      </c>
      <c r="B53" s="44">
        <f>1100.65+66.04</f>
        <v>1166.69</v>
      </c>
      <c r="C53" s="71"/>
      <c r="D53" s="78"/>
      <c r="E53" s="78">
        <f>1100.65+66.04+388.9</f>
        <v>1555.5900000000001</v>
      </c>
      <c r="F53" s="78"/>
      <c r="G53" s="78"/>
      <c r="H53" s="80"/>
      <c r="I53" s="41">
        <f t="shared" si="13"/>
        <v>2722.28</v>
      </c>
      <c r="J53" s="11"/>
      <c r="K53" s="11">
        <f>108.3+140</f>
        <v>248.3</v>
      </c>
      <c r="L53" s="4">
        <f t="shared" si="14"/>
        <v>1421.54</v>
      </c>
      <c r="M53" s="4">
        <f t="shared" si="2"/>
        <v>1669.84</v>
      </c>
      <c r="N53" s="53">
        <f t="shared" si="3"/>
        <v>1052.4400000000003</v>
      </c>
      <c r="O53" s="60"/>
      <c r="P53" s="61">
        <v>1052.44</v>
      </c>
    </row>
    <row r="54" spans="1:16" x14ac:dyDescent="0.25">
      <c r="A54" s="50" t="s">
        <v>38</v>
      </c>
      <c r="B54" s="44">
        <f>12055.47+9162.16</f>
        <v>21217.629999999997</v>
      </c>
      <c r="C54" s="71">
        <v>12055.47</v>
      </c>
      <c r="D54" s="78"/>
      <c r="E54" s="78"/>
      <c r="F54" s="78"/>
      <c r="G54" s="78"/>
      <c r="H54" s="80"/>
      <c r="I54" s="41">
        <f t="shared" si="13"/>
        <v>33273.1</v>
      </c>
      <c r="J54" s="11">
        <v>8084.65</v>
      </c>
      <c r="K54" s="11">
        <v>713.08</v>
      </c>
      <c r="L54" s="4">
        <f t="shared" si="14"/>
        <v>291.93999999999505</v>
      </c>
      <c r="M54" s="4">
        <f t="shared" si="2"/>
        <v>9089.6699999999946</v>
      </c>
      <c r="N54" s="53">
        <f t="shared" si="3"/>
        <v>24183.430000000004</v>
      </c>
      <c r="O54" s="60"/>
      <c r="P54" s="61">
        <v>24183.43</v>
      </c>
    </row>
    <row r="55" spans="1:16" x14ac:dyDescent="0.25">
      <c r="A55" s="50" t="s">
        <v>39</v>
      </c>
      <c r="B55" s="44">
        <f>4769.64+629.59</f>
        <v>5399.2300000000005</v>
      </c>
      <c r="C55" s="71">
        <v>953.93</v>
      </c>
      <c r="D55" s="78"/>
      <c r="E55" s="78"/>
      <c r="F55" s="78"/>
      <c r="G55" s="78"/>
      <c r="H55" s="80"/>
      <c r="I55" s="41">
        <f t="shared" si="13"/>
        <v>6353.1600000000008</v>
      </c>
      <c r="J55" s="11">
        <v>629.52</v>
      </c>
      <c r="K55" s="11">
        <v>713.08</v>
      </c>
      <c r="L55" s="4">
        <f t="shared" si="14"/>
        <v>199.77000000000135</v>
      </c>
      <c r="M55" s="4">
        <f t="shared" si="2"/>
        <v>1542.3700000000013</v>
      </c>
      <c r="N55" s="53">
        <f t="shared" si="3"/>
        <v>4810.7899999999991</v>
      </c>
      <c r="O55" s="60"/>
      <c r="P55" s="61">
        <v>4810.79</v>
      </c>
    </row>
    <row r="56" spans="1:16" x14ac:dyDescent="0.25">
      <c r="A56" s="50" t="s">
        <v>40</v>
      </c>
      <c r="B56" s="44">
        <v>5289.58</v>
      </c>
      <c r="C56" s="71"/>
      <c r="D56" s="78"/>
      <c r="E56" s="78"/>
      <c r="F56" s="78"/>
      <c r="G56" s="78"/>
      <c r="H56" s="80"/>
      <c r="I56" s="41">
        <f t="shared" si="13"/>
        <v>5289.58</v>
      </c>
      <c r="J56" s="11">
        <v>376.48</v>
      </c>
      <c r="K56" s="11">
        <v>599.48</v>
      </c>
      <c r="L56" s="4">
        <f t="shared" si="14"/>
        <v>748.23000000000093</v>
      </c>
      <c r="M56" s="4">
        <f t="shared" si="2"/>
        <v>1724.190000000001</v>
      </c>
      <c r="N56" s="53">
        <f t="shared" si="3"/>
        <v>3565.389999999999</v>
      </c>
      <c r="O56" s="60"/>
      <c r="P56" s="61">
        <v>3565.39</v>
      </c>
    </row>
    <row r="57" spans="1:16" x14ac:dyDescent="0.25">
      <c r="A57" s="50" t="s">
        <v>70</v>
      </c>
      <c r="B57" s="44">
        <v>1803.19</v>
      </c>
      <c r="C57" s="71"/>
      <c r="D57" s="78"/>
      <c r="E57" s="78"/>
      <c r="F57" s="78"/>
      <c r="G57" s="78"/>
      <c r="H57" s="80"/>
      <c r="I57" s="41">
        <f t="shared" si="13"/>
        <v>1803.19</v>
      </c>
      <c r="J57" s="11"/>
      <c r="K57" s="11">
        <v>146.6</v>
      </c>
      <c r="L57" s="4">
        <f t="shared" ref="L57" si="15">I57-J57-K57-P57</f>
        <v>5.9500000000000455</v>
      </c>
      <c r="M57" s="4">
        <f t="shared" ref="M57" si="16">SUM(J57:L57)</f>
        <v>152.55000000000004</v>
      </c>
      <c r="N57" s="53">
        <f t="shared" ref="N57" si="17">SUM(I57-M57)</f>
        <v>1650.64</v>
      </c>
      <c r="O57" s="60"/>
      <c r="P57" s="61">
        <v>1650.64</v>
      </c>
    </row>
    <row r="58" spans="1:16" x14ac:dyDescent="0.25">
      <c r="A58" s="50" t="s">
        <v>41</v>
      </c>
      <c r="B58" s="44">
        <f>9663.92+3131.11</f>
        <v>12795.03</v>
      </c>
      <c r="C58" s="71">
        <v>1932.78</v>
      </c>
      <c r="D58" s="78"/>
      <c r="E58" s="78">
        <f>386.56+1932.78+626.22+981.85</f>
        <v>3927.4100000000003</v>
      </c>
      <c r="F58" s="78"/>
      <c r="G58" s="78">
        <f>5798.35+1878.67+1159.67</f>
        <v>8836.69</v>
      </c>
      <c r="H58" s="80"/>
      <c r="I58" s="41">
        <f t="shared" si="13"/>
        <v>18655.22</v>
      </c>
      <c r="J58" s="11">
        <f>3135.89+151.84</f>
        <v>3287.73</v>
      </c>
      <c r="K58" s="11">
        <v>713.08</v>
      </c>
      <c r="L58" s="4">
        <f t="shared" si="14"/>
        <v>3231.6900000000023</v>
      </c>
      <c r="M58" s="4">
        <f t="shared" si="2"/>
        <v>7232.5000000000018</v>
      </c>
      <c r="N58" s="53">
        <f>SUM(I58-M58)+G58</f>
        <v>20259.41</v>
      </c>
      <c r="O58" s="60"/>
      <c r="P58" s="61">
        <v>11422.72</v>
      </c>
    </row>
    <row r="59" spans="1:16" x14ac:dyDescent="0.25">
      <c r="A59" s="50" t="s">
        <v>42</v>
      </c>
      <c r="B59" s="44">
        <v>2072.52</v>
      </c>
      <c r="C59" s="71"/>
      <c r="D59" s="78"/>
      <c r="E59" s="78"/>
      <c r="F59" s="78"/>
      <c r="G59" s="78"/>
      <c r="H59" s="80"/>
      <c r="I59" s="41">
        <f t="shared" si="13"/>
        <v>2072.52</v>
      </c>
      <c r="J59" s="11"/>
      <c r="K59" s="11">
        <v>170.84</v>
      </c>
      <c r="L59" s="4">
        <f t="shared" si="14"/>
        <v>145.13000000000011</v>
      </c>
      <c r="M59" s="4">
        <f t="shared" si="2"/>
        <v>315.97000000000014</v>
      </c>
      <c r="N59" s="53">
        <f t="shared" si="3"/>
        <v>1756.5499999999997</v>
      </c>
      <c r="O59" s="60"/>
      <c r="P59" s="61">
        <v>1756.55</v>
      </c>
    </row>
    <row r="60" spans="1:16" x14ac:dyDescent="0.25">
      <c r="A60" s="50" t="s">
        <v>43</v>
      </c>
      <c r="B60" s="44">
        <f>1690.02+321.1</f>
        <v>2011.12</v>
      </c>
      <c r="C60" s="71"/>
      <c r="D60" s="78"/>
      <c r="E60" s="78">
        <f>1690.02+5.3+321.1+672.14</f>
        <v>2688.56</v>
      </c>
      <c r="F60" s="78"/>
      <c r="G60" s="78"/>
      <c r="H60" s="80"/>
      <c r="I60" s="41">
        <f t="shared" si="13"/>
        <v>4699.68</v>
      </c>
      <c r="J60" s="11">
        <v>34.65</v>
      </c>
      <c r="K60" s="11">
        <f>194.27+322.62</f>
        <v>516.89</v>
      </c>
      <c r="L60" s="4">
        <f t="shared" si="14"/>
        <v>3348.3100000000004</v>
      </c>
      <c r="M60" s="4">
        <f t="shared" si="2"/>
        <v>3899.8500000000004</v>
      </c>
      <c r="N60" s="53">
        <f t="shared" si="3"/>
        <v>799.82999999999993</v>
      </c>
      <c r="O60" s="60"/>
      <c r="P60" s="61">
        <v>799.83</v>
      </c>
    </row>
    <row r="61" spans="1:16" x14ac:dyDescent="0.25">
      <c r="A61" s="50" t="s">
        <v>44</v>
      </c>
      <c r="B61" s="44">
        <f>5022.38+1868.33+141.05</f>
        <v>7031.76</v>
      </c>
      <c r="C61" s="71">
        <v>1004.48</v>
      </c>
      <c r="D61" s="78"/>
      <c r="E61" s="78">
        <f>1004.48+5022.38+1868.33+2631.73</f>
        <v>10526.92</v>
      </c>
      <c r="F61" s="78">
        <f>669.65+3348.25+1245.55+1754.48</f>
        <v>7017.93</v>
      </c>
      <c r="G61" s="78">
        <f>5022.38+1868.33+1004.48</f>
        <v>7895.1900000000005</v>
      </c>
      <c r="H61" s="80"/>
      <c r="I61" s="41">
        <f t="shared" si="13"/>
        <v>25581.089999999997</v>
      </c>
      <c r="J61" s="11">
        <f>1197.54+1686.38</f>
        <v>2883.92</v>
      </c>
      <c r="K61" s="11">
        <v>713.08</v>
      </c>
      <c r="L61" s="4">
        <f t="shared" si="14"/>
        <v>16555.039999999997</v>
      </c>
      <c r="M61" s="4">
        <f t="shared" si="2"/>
        <v>20152.039999999997</v>
      </c>
      <c r="N61" s="53">
        <f>SUM(I61-M61)+G61</f>
        <v>13324.24</v>
      </c>
      <c r="O61" s="60"/>
      <c r="P61" s="61">
        <v>5429.05</v>
      </c>
    </row>
    <row r="62" spans="1:16" x14ac:dyDescent="0.25">
      <c r="A62" s="50" t="s">
        <v>45</v>
      </c>
      <c r="B62" s="44">
        <v>4833.41</v>
      </c>
      <c r="C62" s="71"/>
      <c r="D62" s="78"/>
      <c r="E62" s="78"/>
      <c r="F62" s="78"/>
      <c r="G62" s="78"/>
      <c r="H62" s="80"/>
      <c r="I62" s="41">
        <f t="shared" si="13"/>
        <v>4833.41</v>
      </c>
      <c r="J62" s="11">
        <v>288.22000000000003</v>
      </c>
      <c r="K62" s="11">
        <v>535.61</v>
      </c>
      <c r="L62" s="4">
        <f t="shared" si="14"/>
        <v>1860.8499999999995</v>
      </c>
      <c r="M62" s="4">
        <f t="shared" si="2"/>
        <v>2684.6799999999994</v>
      </c>
      <c r="N62" s="53">
        <f t="shared" si="3"/>
        <v>2148.7300000000005</v>
      </c>
      <c r="O62" s="60"/>
      <c r="P62" s="61">
        <v>2148.73</v>
      </c>
    </row>
    <row r="63" spans="1:16" x14ac:dyDescent="0.25">
      <c r="A63" s="50" t="s">
        <v>46</v>
      </c>
      <c r="B63" s="44">
        <v>1943.69</v>
      </c>
      <c r="C63" s="71"/>
      <c r="D63" s="78"/>
      <c r="E63" s="78"/>
      <c r="F63" s="78"/>
      <c r="G63" s="78"/>
      <c r="H63" s="80"/>
      <c r="I63" s="41">
        <f t="shared" si="13"/>
        <v>1943.69</v>
      </c>
      <c r="J63" s="11"/>
      <c r="K63" s="11">
        <v>159.25</v>
      </c>
      <c r="L63" s="4">
        <f t="shared" si="14"/>
        <v>66.509999999999991</v>
      </c>
      <c r="M63" s="4">
        <f t="shared" si="2"/>
        <v>225.76</v>
      </c>
      <c r="N63" s="53">
        <f t="shared" si="3"/>
        <v>1717.93</v>
      </c>
      <c r="O63" s="60"/>
      <c r="P63" s="61">
        <v>1717.93</v>
      </c>
    </row>
    <row r="64" spans="1:16" x14ac:dyDescent="0.25">
      <c r="A64" s="50" t="s">
        <v>86</v>
      </c>
      <c r="B64" s="44">
        <v>3865.44</v>
      </c>
      <c r="C64" s="71"/>
      <c r="D64" s="78"/>
      <c r="E64" s="78"/>
      <c r="F64" s="78"/>
      <c r="G64" s="78"/>
      <c r="H64" s="80"/>
      <c r="I64" s="41">
        <f t="shared" si="13"/>
        <v>3865.44</v>
      </c>
      <c r="J64" s="11">
        <v>165</v>
      </c>
      <c r="K64" s="11">
        <v>400.1</v>
      </c>
      <c r="L64" s="4">
        <f t="shared" ref="L64" si="18">I64-J64-K64-P64</f>
        <v>5.9500000000002728</v>
      </c>
      <c r="M64" s="4">
        <f t="shared" ref="M64" si="19">SUM(J64:L64)</f>
        <v>571.0500000000003</v>
      </c>
      <c r="N64" s="53">
        <f t="shared" ref="N64" si="20">SUM(I64-M64)</f>
        <v>3294.39</v>
      </c>
      <c r="O64" s="60"/>
      <c r="P64" s="61">
        <v>3294.39</v>
      </c>
    </row>
    <row r="65" spans="1:16" x14ac:dyDescent="0.25">
      <c r="A65" s="50" t="s">
        <v>84</v>
      </c>
      <c r="B65" s="44">
        <v>1699.18</v>
      </c>
      <c r="C65" s="71"/>
      <c r="D65" s="78"/>
      <c r="E65" s="78"/>
      <c r="F65" s="78"/>
      <c r="G65" s="78"/>
      <c r="H65" s="80"/>
      <c r="I65" s="41">
        <f t="shared" si="13"/>
        <v>1699.18</v>
      </c>
      <c r="J65" s="11"/>
      <c r="K65" s="11">
        <v>137.24</v>
      </c>
      <c r="L65" s="4">
        <f t="shared" ref="L65" si="21">I65-J65-K65-P65</f>
        <v>127.86000000000013</v>
      </c>
      <c r="M65" s="4">
        <f t="shared" ref="M65" si="22">SUM(J65:L65)</f>
        <v>265.10000000000014</v>
      </c>
      <c r="N65" s="53">
        <f t="shared" ref="N65" si="23">SUM(I65-M65)</f>
        <v>1434.08</v>
      </c>
      <c r="O65" s="60"/>
      <c r="P65" s="61">
        <v>1434.08</v>
      </c>
    </row>
    <row r="66" spans="1:16" ht="15.75" thickBot="1" x14ac:dyDescent="0.3">
      <c r="A66" s="51" t="s">
        <v>47</v>
      </c>
      <c r="B66" s="46">
        <f>7758.89+1024.17</f>
        <v>8783.0600000000013</v>
      </c>
      <c r="C66" s="75">
        <v>1551.78</v>
      </c>
      <c r="D66" s="81"/>
      <c r="E66" s="81"/>
      <c r="F66" s="81"/>
      <c r="G66" s="81"/>
      <c r="H66" s="82">
        <v>7847.12</v>
      </c>
      <c r="I66" s="42">
        <f t="shared" si="13"/>
        <v>18181.960000000003</v>
      </c>
      <c r="J66" s="38">
        <v>3882.44</v>
      </c>
      <c r="K66" s="38">
        <v>713.08</v>
      </c>
      <c r="L66" s="39">
        <f t="shared" si="14"/>
        <v>67.510000000002037</v>
      </c>
      <c r="M66" s="39">
        <f t="shared" si="2"/>
        <v>4663.0300000000025</v>
      </c>
      <c r="N66" s="54">
        <f t="shared" si="3"/>
        <v>13518.93</v>
      </c>
      <c r="O66" s="60"/>
      <c r="P66" s="61">
        <v>13518.93</v>
      </c>
    </row>
    <row r="67" spans="1:16" ht="15.75" thickBot="1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</row>
    <row r="68" spans="1:16" x14ac:dyDescent="0.25">
      <c r="A68" s="92" t="s">
        <v>96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4"/>
    </row>
    <row r="69" spans="1:16" x14ac:dyDescent="0.25">
      <c r="A69" s="106" t="s">
        <v>97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8"/>
    </row>
    <row r="70" spans="1:16" ht="5.25" customHeight="1" x14ac:dyDescent="0.25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1"/>
    </row>
    <row r="71" spans="1:16" x14ac:dyDescent="0.25">
      <c r="A71" s="112" t="s">
        <v>98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4"/>
    </row>
    <row r="72" spans="1:16" x14ac:dyDescent="0.25">
      <c r="A72" s="115" t="s">
        <v>92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7"/>
    </row>
    <row r="73" spans="1:16" x14ac:dyDescent="0.25">
      <c r="A73" s="115" t="s">
        <v>93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7"/>
    </row>
    <row r="74" spans="1:16" x14ac:dyDescent="0.25">
      <c r="A74" s="115" t="s">
        <v>94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7"/>
    </row>
    <row r="75" spans="1:16" ht="15.75" thickBot="1" x14ac:dyDescent="0.3">
      <c r="A75" s="89" t="s">
        <v>95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1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83" t="s">
        <v>78</v>
      </c>
      <c r="M79" s="84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314897.68</v>
      </c>
      <c r="J80" s="32">
        <f>SUM(J7:J42)</f>
        <v>50839.089999999989</v>
      </c>
      <c r="K80" s="32">
        <f>SUM(K7:K42)</f>
        <v>18682.910000000003</v>
      </c>
      <c r="L80" s="85">
        <f>SUM(N7:N42)</f>
        <v>217502.20999999996</v>
      </c>
      <c r="M80" s="86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185932.9</v>
      </c>
      <c r="J81" s="32">
        <f>SUM(J45:J66)</f>
        <v>26584.76</v>
      </c>
      <c r="K81" s="32">
        <f>SUM(K45:K66)</f>
        <v>11076.59</v>
      </c>
      <c r="L81" s="85">
        <f>SUM(N45:N66)</f>
        <v>131005.12</v>
      </c>
      <c r="M81" s="86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500830.57999999996</v>
      </c>
      <c r="J82" s="34">
        <f>SUM(J80:J81)</f>
        <v>77423.849999999991</v>
      </c>
      <c r="K82" s="34">
        <f>SUM(K80:K81)</f>
        <v>29759.500000000004</v>
      </c>
      <c r="L82" s="87">
        <f>SUM(L80:L81)</f>
        <v>348507.32999999996</v>
      </c>
      <c r="M82" s="88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69:N69"/>
    <mergeCell ref="A70:N70"/>
    <mergeCell ref="A71:N71"/>
    <mergeCell ref="A72:N72"/>
    <mergeCell ref="A74:N74"/>
    <mergeCell ref="A73:N73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L79:M79"/>
    <mergeCell ref="L80:M80"/>
    <mergeCell ref="L81:M81"/>
    <mergeCell ref="L82:M82"/>
    <mergeCell ref="A75:N75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20" t="s">
        <v>59</v>
      </c>
      <c r="B1" s="120"/>
      <c r="C1" s="120"/>
      <c r="D1" s="120"/>
      <c r="E1" s="120"/>
      <c r="F1" s="120"/>
      <c r="G1" s="120"/>
      <c r="H1" s="120"/>
      <c r="I1" s="120"/>
    </row>
    <row r="2" spans="1:12" x14ac:dyDescent="0.25">
      <c r="A2" s="120" t="s">
        <v>60</v>
      </c>
      <c r="B2" s="120"/>
      <c r="C2" s="120"/>
      <c r="D2" s="120"/>
      <c r="E2" s="120"/>
      <c r="F2" s="120"/>
      <c r="G2" s="120"/>
      <c r="H2" s="120"/>
      <c r="I2" s="120"/>
    </row>
    <row r="3" spans="1:12" ht="4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2" t="s">
        <v>58</v>
      </c>
      <c r="B5" s="124" t="s">
        <v>48</v>
      </c>
      <c r="C5" s="124" t="s">
        <v>80</v>
      </c>
      <c r="D5" s="5" t="s">
        <v>50</v>
      </c>
      <c r="E5" s="124" t="s">
        <v>52</v>
      </c>
      <c r="F5" s="124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3"/>
      <c r="B6" s="125"/>
      <c r="C6" s="125"/>
      <c r="D6" s="6" t="s">
        <v>51</v>
      </c>
      <c r="E6" s="125"/>
      <c r="F6" s="125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2" t="s">
        <v>58</v>
      </c>
      <c r="B42" s="124" t="s">
        <v>48</v>
      </c>
      <c r="C42" s="124" t="s">
        <v>80</v>
      </c>
      <c r="D42" s="5" t="s">
        <v>50</v>
      </c>
      <c r="E42" s="126" t="s">
        <v>52</v>
      </c>
      <c r="F42" s="126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3"/>
      <c r="B43" s="125"/>
      <c r="C43" s="125"/>
      <c r="D43" s="6" t="s">
        <v>51</v>
      </c>
      <c r="E43" s="127"/>
      <c r="F43" s="127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30" t="s">
        <v>73</v>
      </c>
      <c r="B65" s="131"/>
      <c r="C65" s="131"/>
      <c r="D65" s="131"/>
      <c r="E65" s="131"/>
      <c r="F65" s="131"/>
      <c r="G65" s="131"/>
      <c r="H65" s="131"/>
      <c r="I65" s="131"/>
    </row>
    <row r="66" spans="1:9" x14ac:dyDescent="0.25">
      <c r="A66" s="130" t="s">
        <v>61</v>
      </c>
      <c r="B66" s="131"/>
      <c r="C66" s="131"/>
      <c r="D66" s="131"/>
      <c r="E66" s="131"/>
      <c r="F66" s="131"/>
      <c r="G66" s="131"/>
      <c r="H66" s="131"/>
      <c r="I66" s="131"/>
    </row>
    <row r="67" spans="1:9" x14ac:dyDescent="0.25">
      <c r="A67" s="132"/>
      <c r="B67" s="132"/>
      <c r="C67" s="132"/>
      <c r="D67" s="132"/>
      <c r="E67" s="132"/>
      <c r="F67" s="132"/>
      <c r="G67" s="132"/>
      <c r="H67" s="132"/>
      <c r="I67" s="132"/>
    </row>
    <row r="68" spans="1:9" x14ac:dyDescent="0.25">
      <c r="A68" s="133" t="s">
        <v>62</v>
      </c>
      <c r="B68" s="133"/>
      <c r="C68" s="133"/>
      <c r="D68" s="133"/>
      <c r="E68" s="133"/>
      <c r="F68" s="133"/>
      <c r="G68" s="133"/>
      <c r="H68" s="133"/>
      <c r="I68" s="133"/>
    </row>
    <row r="69" spans="1:9" x14ac:dyDescent="0.25">
      <c r="A69" s="128" t="s">
        <v>66</v>
      </c>
      <c r="B69" s="128"/>
      <c r="C69" s="128"/>
      <c r="D69" s="128"/>
      <c r="E69" s="128"/>
      <c r="F69" s="128"/>
      <c r="G69" s="128"/>
      <c r="H69" s="128"/>
      <c r="I69" s="128"/>
    </row>
    <row r="70" spans="1:9" x14ac:dyDescent="0.25">
      <c r="A70" s="128" t="s">
        <v>68</v>
      </c>
      <c r="B70" s="128"/>
      <c r="C70" s="128"/>
      <c r="D70" s="128"/>
      <c r="E70" s="128"/>
      <c r="F70" s="128"/>
      <c r="G70" s="128"/>
      <c r="H70" s="128"/>
      <c r="I70" s="128"/>
    </row>
    <row r="71" spans="1:9" x14ac:dyDescent="0.25">
      <c r="A71" s="128" t="s">
        <v>65</v>
      </c>
      <c r="B71" s="128"/>
      <c r="C71" s="128"/>
      <c r="D71" s="128"/>
      <c r="E71" s="128"/>
      <c r="F71" s="128"/>
      <c r="G71" s="128"/>
      <c r="H71" s="128"/>
      <c r="I71" s="128"/>
    </row>
    <row r="72" spans="1:9" x14ac:dyDescent="0.25">
      <c r="A72" s="129"/>
      <c r="B72" s="129"/>
      <c r="C72" s="129"/>
      <c r="D72" s="129"/>
      <c r="E72" s="129"/>
      <c r="F72" s="129"/>
      <c r="G72" s="129"/>
      <c r="H72" s="129"/>
      <c r="I72" s="129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2020-04-13T18:46:43Z</cp:lastPrinted>
  <dcterms:created xsi:type="dcterms:W3CDTF">2016-04-28T12:49:34Z</dcterms:created>
  <dcterms:modified xsi:type="dcterms:W3CDTF">2020-04-13T18:47:15Z</dcterms:modified>
</cp:coreProperties>
</file>