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D29A03A7-60B7-4F9A-8C33-7C65FF11BF05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6" i="6" l="1"/>
  <c r="E66" i="6"/>
  <c r="B66" i="6"/>
  <c r="K62" i="6"/>
  <c r="E62" i="6"/>
  <c r="B62" i="6"/>
  <c r="B61" i="6"/>
  <c r="B60" i="6"/>
  <c r="K59" i="6"/>
  <c r="E59" i="6"/>
  <c r="B59" i="6"/>
  <c r="B58" i="6"/>
  <c r="K56" i="6"/>
  <c r="E56" i="6"/>
  <c r="B56" i="6"/>
  <c r="K55" i="6"/>
  <c r="E55" i="6"/>
  <c r="B55" i="6"/>
  <c r="B54" i="6"/>
  <c r="B51" i="6"/>
  <c r="B49" i="6"/>
  <c r="B48" i="6"/>
  <c r="K42" i="6"/>
  <c r="J42" i="6"/>
  <c r="E42" i="6"/>
  <c r="B42" i="6"/>
  <c r="K39" i="6"/>
  <c r="F39" i="6"/>
  <c r="E39" i="6"/>
  <c r="B39" i="6"/>
  <c r="K38" i="6"/>
  <c r="J38" i="6"/>
  <c r="E38" i="6"/>
  <c r="B38" i="6"/>
  <c r="J37" i="6"/>
  <c r="E37" i="6"/>
  <c r="B37" i="6"/>
  <c r="B36" i="6"/>
  <c r="K35" i="6"/>
  <c r="J35" i="6"/>
  <c r="E35" i="6"/>
  <c r="B35" i="6"/>
  <c r="K34" i="6"/>
  <c r="E34" i="6"/>
  <c r="B34" i="6"/>
  <c r="K33" i="6"/>
  <c r="E33" i="6"/>
  <c r="B33" i="6"/>
  <c r="B30" i="6"/>
  <c r="B29" i="6"/>
  <c r="J26" i="6"/>
  <c r="F26" i="6"/>
  <c r="E26" i="6"/>
  <c r="B26" i="6"/>
  <c r="B25" i="6"/>
  <c r="K24" i="6"/>
  <c r="J24" i="6"/>
  <c r="E24" i="6"/>
  <c r="B24" i="6"/>
  <c r="B23" i="6"/>
  <c r="B22" i="6"/>
  <c r="B20" i="6"/>
  <c r="B16" i="6"/>
  <c r="B15" i="6"/>
  <c r="F14" i="6"/>
  <c r="E14" i="6" l="1"/>
  <c r="C14" i="6"/>
  <c r="B14" i="6"/>
  <c r="K13" i="6"/>
  <c r="F13" i="6"/>
  <c r="E13" i="6"/>
  <c r="B13" i="6"/>
  <c r="K11" i="6"/>
  <c r="E11" i="6"/>
  <c r="B11" i="6"/>
  <c r="K9" i="6"/>
  <c r="E9" i="6"/>
  <c r="B9" i="6"/>
  <c r="B7" i="6"/>
  <c r="J66" i="6" l="1"/>
  <c r="K58" i="6"/>
  <c r="K51" i="6"/>
  <c r="K49" i="6"/>
  <c r="K48" i="6"/>
  <c r="K47" i="6"/>
  <c r="K37" i="6"/>
  <c r="K28" i="6"/>
  <c r="K14" i="6" l="1"/>
  <c r="I64" i="6" l="1"/>
  <c r="L64" i="6" s="1"/>
  <c r="M64" i="6" s="1"/>
  <c r="N64" i="6" s="1"/>
  <c r="I46" i="6" l="1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I45" i="6"/>
  <c r="I16" i="6"/>
  <c r="I17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10" i="6"/>
  <c r="I11" i="6"/>
  <c r="I12" i="6"/>
  <c r="I13" i="6"/>
  <c r="I14" i="6"/>
  <c r="I15" i="6"/>
  <c r="I8" i="6"/>
  <c r="I7" i="6"/>
  <c r="L65" i="6" l="1"/>
  <c r="M65" i="6" s="1"/>
  <c r="N65" i="6" s="1"/>
  <c r="I18" i="6"/>
  <c r="I9" i="6"/>
  <c r="L10" i="6" l="1"/>
  <c r="M10" i="6" s="1"/>
  <c r="N10" i="6" s="1"/>
  <c r="L19" i="6" l="1"/>
  <c r="M19" i="6" s="1"/>
  <c r="N19" i="6" s="1"/>
  <c r="I26" i="7" l="1"/>
  <c r="I11" i="7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F78" i="7" l="1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<sst xmlns="http://schemas.openxmlformats.org/spreadsheetml/2006/main" count="208" uniqueCount="100">
  <si>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</si>
  <si>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</si>
  <si>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</si>
  <si>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</si>
  <si>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</si>
  <si>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</si>
  <si>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</si>
  <si>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</si>
  <si>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</si>
  <si>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</si>
  <si>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</si>
  <si>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</si>
  <si>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</si>
  <si>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</si>
  <si>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</si>
  <si>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</si>
  <si>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</si>
  <si>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</si>
  <si>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</si>
  <si>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</si>
  <si>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</si>
  <si>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</si>
  <si>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</si>
  <si>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</si>
  <si>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</si>
  <si>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</si>
  <si>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</si>
  <si>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</si>
  <si>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</si>
  <si>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</si>
  <si>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</si>
  <si>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</si>
  <si>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</si>
  <si>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</si>
  <si>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</si>
  <si>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</si>
  <si>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</si>
  <si>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</si>
  <si>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</si>
  <si>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</si>
  <si>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</si>
  <si>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</si>
  <si>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</si>
  <si>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</si>
  <si>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</si>
  <si>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</si>
  <si>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</si>
  <si>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</si>
  <si>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</si>
  <si>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</si>
  <si>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</si>
  <si>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</si>
  <si>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</si>
  <si>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</si>
  <si>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</si>
  <si>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</si>
  <si>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</si>
  <si>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</si>
  <si>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</si>
  <si>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</si>
  <si>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</si>
  <si>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</si>
  <si>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</si>
  <si>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</si>
  <si>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</si>
  <si>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</si>
  <si>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</si>
  <si>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</si>
  <si>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</si>
  <si>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</si>
  <si>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</si>
  <si>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</si>
  <si>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</si>
  <si>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</si>
  <si>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</si>
  <si>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</si>
  <si>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</si>
  <si>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</si>
  <si>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</si>
  <si>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</si>
  <si>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</si>
  <si>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</si>
  <si>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</si>
  <si>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</si>
  <si>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</si>
  <si>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</si>
  <si>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</si>
  <si>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</si>
  <si>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</si>
  <si>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</si>
  <si>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</si>
  <si>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</si>
  <si>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</si>
  <si>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</si>
  <si>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</si>
  <si>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</si>
  <si>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A concessão do vale alimentação e/ou vale refeição aos funcionários do CRCPR é realizada por meio de cartão magnético. O benefício é disponibilizado mensalmente no valor de R$ 45,00 (quarenta e um reais) recebidos por 22 dias mensais,</t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</si>
  <si>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</si>
  <si>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</si>
  <si>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Mês: 02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</si>
</sst>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67" sqref="P6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83" t="s">
        <v>59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ht="16.5" x14ac:dyDescent="0.25">
      <c r="A2" s="83" t="s">
        <v>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ht="4.5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7" ht="19.5" thickBot="1" x14ac:dyDescent="0.35">
      <c r="A4" s="35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85" t="s">
        <v>58</v>
      </c>
      <c r="B5" s="87" t="s">
        <v>48</v>
      </c>
      <c r="C5" s="91" t="s">
        <v>87</v>
      </c>
      <c r="D5" s="89" t="s">
        <v>49</v>
      </c>
      <c r="E5" s="89" t="s">
        <v>88</v>
      </c>
      <c r="F5" s="64" t="s">
        <v>89</v>
      </c>
      <c r="G5" s="68" t="s">
        <v>91</v>
      </c>
      <c r="H5" s="36" t="s">
        <v>63</v>
      </c>
      <c r="I5" s="56" t="s">
        <v>50</v>
      </c>
      <c r="J5" s="89" t="s">
        <v>52</v>
      </c>
      <c r="K5" s="89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86"/>
      <c r="B6" s="88"/>
      <c r="C6" s="92"/>
      <c r="D6" s="90"/>
      <c r="E6" s="90"/>
      <c r="F6" s="67" t="s">
        <v>90</v>
      </c>
      <c r="G6" s="69" t="s">
        <v>67</v>
      </c>
      <c r="H6" s="37" t="s">
        <v>64</v>
      </c>
      <c r="I6" s="57" t="s">
        <v>51</v>
      </c>
      <c r="J6" s="90"/>
      <c r="K6" s="90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10049.63+4924.32</f>
        <v>14973.949999999999</v>
      </c>
      <c r="C7" s="70">
        <v>4019.85</v>
      </c>
      <c r="D7" s="76"/>
      <c r="E7" s="76"/>
      <c r="F7" s="76"/>
      <c r="G7" s="76"/>
      <c r="H7" s="77"/>
      <c r="I7" s="40">
        <f t="shared" ref="I7:I42" si="0">SUM(B7:H7)-G7</f>
        <v>18993.8</v>
      </c>
      <c r="J7" s="10">
        <v>4117.24</v>
      </c>
      <c r="K7" s="10">
        <v>671.11</v>
      </c>
      <c r="L7" s="4">
        <f t="shared" ref="L7:L13" si="1">I7-J7-K7-P7</f>
        <v>774.68999999999869</v>
      </c>
      <c r="M7" s="3">
        <f>SUM(J7:L7)</f>
        <v>5563.0399999999981</v>
      </c>
      <c r="N7" s="52">
        <f>SUM(I7-M7)</f>
        <v>13430.760000000002</v>
      </c>
      <c r="O7" s="60"/>
      <c r="P7" s="61">
        <v>13430.76</v>
      </c>
    </row>
    <row r="8" spans="1:17" x14ac:dyDescent="0.25">
      <c r="A8" s="50" t="s">
        <v>1</v>
      </c>
      <c r="B8" s="44">
        <v>5138.68</v>
      </c>
      <c r="C8" s="71"/>
      <c r="D8" s="78"/>
      <c r="E8" s="78"/>
      <c r="F8" s="78"/>
      <c r="G8" s="78"/>
      <c r="H8" s="79"/>
      <c r="I8" s="41">
        <f t="shared" si="0"/>
        <v>5138.68</v>
      </c>
      <c r="J8" s="11">
        <v>392.89</v>
      </c>
      <c r="K8" s="11">
        <v>565.25</v>
      </c>
      <c r="L8" s="4">
        <f t="shared" si="1"/>
        <v>40.890000000000327</v>
      </c>
      <c r="M8" s="4">
        <f t="shared" ref="M8:M66" si="2">SUM(J8:L8)</f>
        <v>999.03000000000031</v>
      </c>
      <c r="N8" s="53">
        <f t="shared" ref="N8:N66" si="3">SUM(I8-M8)</f>
        <v>4139.6499999999996</v>
      </c>
      <c r="O8" s="60"/>
      <c r="P8" s="61">
        <v>4139.6499999999996</v>
      </c>
    </row>
    <row r="9" spans="1:17" x14ac:dyDescent="0.25">
      <c r="A9" s="50" t="s">
        <v>2</v>
      </c>
      <c r="B9" s="44">
        <f>1945.94+116.76</f>
        <v>2062.7000000000003</v>
      </c>
      <c r="C9" s="71"/>
      <c r="D9" s="78"/>
      <c r="E9" s="78">
        <f>317.34+105.78</f>
        <v>423.12</v>
      </c>
      <c r="F9" s="78"/>
      <c r="G9" s="78"/>
      <c r="H9" s="79"/>
      <c r="I9" s="41">
        <f t="shared" si="0"/>
        <v>2485.8200000000002</v>
      </c>
      <c r="J9" s="11"/>
      <c r="K9" s="11">
        <f>33.85+175.79</f>
        <v>209.64</v>
      </c>
      <c r="L9" s="4">
        <f t="shared" si="1"/>
        <v>1656.7100000000003</v>
      </c>
      <c r="M9" s="4">
        <f t="shared" si="2"/>
        <v>1866.3500000000004</v>
      </c>
      <c r="N9" s="53">
        <f t="shared" si="3"/>
        <v>619.4699999999998</v>
      </c>
      <c r="O9" s="60"/>
      <c r="P9" s="61">
        <v>619.47</v>
      </c>
    </row>
    <row r="10" spans="1:17" x14ac:dyDescent="0.25">
      <c r="A10" s="50" t="s">
        <v>83</v>
      </c>
      <c r="B10" s="44">
        <v>4094.15</v>
      </c>
      <c r="C10" s="71"/>
      <c r="D10" s="78"/>
      <c r="E10" s="78"/>
      <c r="F10" s="78"/>
      <c r="G10" s="78"/>
      <c r="H10" s="79"/>
      <c r="I10" s="41">
        <f t="shared" si="0"/>
        <v>4094.15</v>
      </c>
      <c r="J10" s="11">
        <v>191.77</v>
      </c>
      <c r="K10" s="11">
        <v>450.35</v>
      </c>
      <c r="L10" s="4">
        <f t="shared" ref="L10" si="4">I10-J10-K10-P10</f>
        <v>40.890000000000327</v>
      </c>
      <c r="M10" s="4">
        <f t="shared" ref="M10" si="5">SUM(J10:L10)</f>
        <v>683.01000000000033</v>
      </c>
      <c r="N10" s="53">
        <f t="shared" ref="N10" si="6">SUM(I10-M10)</f>
        <v>3411.14</v>
      </c>
      <c r="O10" s="60"/>
      <c r="P10" s="61">
        <v>3411.14</v>
      </c>
    </row>
    <row r="11" spans="1:17" x14ac:dyDescent="0.25">
      <c r="A11" s="50" t="s">
        <v>72</v>
      </c>
      <c r="B11" s="44">
        <f>707.13+17.07</f>
        <v>724.2</v>
      </c>
      <c r="C11" s="71">
        <v>1000</v>
      </c>
      <c r="D11" s="78"/>
      <c r="E11" s="78">
        <f>1677.31+559.1</f>
        <v>2236.41</v>
      </c>
      <c r="F11" s="78"/>
      <c r="G11" s="78"/>
      <c r="H11" s="79"/>
      <c r="I11" s="41">
        <f t="shared" si="0"/>
        <v>3960.6099999999997</v>
      </c>
      <c r="J11" s="11"/>
      <c r="K11" s="11">
        <f>201.27+234.39</f>
        <v>435.65999999999997</v>
      </c>
      <c r="L11" s="4">
        <f t="shared" si="1"/>
        <v>2129.1099999999997</v>
      </c>
      <c r="M11" s="4">
        <f t="shared" si="2"/>
        <v>2564.7699999999995</v>
      </c>
      <c r="N11" s="53">
        <f t="shared" si="3"/>
        <v>1395.8400000000001</v>
      </c>
      <c r="O11" s="60"/>
      <c r="P11" s="61">
        <v>1395.84</v>
      </c>
    </row>
    <row r="12" spans="1:17" x14ac:dyDescent="0.25">
      <c r="A12" s="50" t="s">
        <v>3</v>
      </c>
      <c r="B12" s="44">
        <v>2555.48</v>
      </c>
      <c r="C12" s="71"/>
      <c r="D12" s="78"/>
      <c r="E12" s="78"/>
      <c r="F12" s="78"/>
      <c r="G12" s="78"/>
      <c r="H12" s="79"/>
      <c r="I12" s="41">
        <f t="shared" si="0"/>
        <v>2555.48</v>
      </c>
      <c r="J12" s="11">
        <v>17.39</v>
      </c>
      <c r="K12" s="11">
        <v>229.99</v>
      </c>
      <c r="L12" s="4">
        <f t="shared" si="1"/>
        <v>821.55000000000041</v>
      </c>
      <c r="M12" s="4">
        <f t="shared" si="2"/>
        <v>1068.9300000000003</v>
      </c>
      <c r="N12" s="53">
        <f>SUM(I12-M12)+G12</f>
        <v>1486.5499999999997</v>
      </c>
      <c r="O12" s="60"/>
      <c r="P12" s="61">
        <v>1486.55</v>
      </c>
      <c r="Q12" s="1"/>
    </row>
    <row r="13" spans="1:17" x14ac:dyDescent="0.25">
      <c r="A13" s="50" t="s">
        <v>4</v>
      </c>
      <c r="B13" s="44">
        <f>941.36+216.51</f>
        <v>1157.8699999999999</v>
      </c>
      <c r="C13" s="71"/>
      <c r="D13" s="78"/>
      <c r="E13" s="78">
        <f>2315.75+771.92</f>
        <v>3087.67</v>
      </c>
      <c r="F13" s="78">
        <f>385.96+1157.87</f>
        <v>1543.83</v>
      </c>
      <c r="G13" s="78"/>
      <c r="H13" s="79"/>
      <c r="I13" s="41">
        <f t="shared" si="0"/>
        <v>5789.37</v>
      </c>
      <c r="J13" s="11">
        <v>49.08</v>
      </c>
      <c r="K13" s="11">
        <f>339.64+127.36</f>
        <v>467</v>
      </c>
      <c r="L13" s="4">
        <f t="shared" si="1"/>
        <v>4912.3900000000003</v>
      </c>
      <c r="M13" s="4">
        <f t="shared" si="2"/>
        <v>5428.47</v>
      </c>
      <c r="N13" s="53">
        <f t="shared" si="3"/>
        <v>360.89999999999964</v>
      </c>
      <c r="O13" s="60"/>
      <c r="P13" s="61">
        <v>360.9</v>
      </c>
    </row>
    <row r="14" spans="1:17" x14ac:dyDescent="0.25">
      <c r="A14" s="50" t="s">
        <v>5</v>
      </c>
      <c r="B14" s="44">
        <f>11210.14+5380.37</f>
        <v>16590.509999999998</v>
      </c>
      <c r="C14" s="71">
        <f>1121.01+4484.06</f>
        <v>5605.0700000000006</v>
      </c>
      <c r="D14" s="78"/>
      <c r="E14" s="78">
        <f>765.39+255.13+2.17+0.72</f>
        <v>1023.41</v>
      </c>
      <c r="F14" s="78">
        <f>7653.82+2551.27+21.67+7.22</f>
        <v>10233.98</v>
      </c>
      <c r="G14" s="78"/>
      <c r="H14" s="79"/>
      <c r="I14" s="41">
        <f t="shared" si="0"/>
        <v>33452.97</v>
      </c>
      <c r="J14" s="11">
        <v>5058.84</v>
      </c>
      <c r="K14" s="11">
        <f>610.21+60.9</f>
        <v>671.11</v>
      </c>
      <c r="L14" s="4">
        <f>I14-J14-K14-P14</f>
        <v>11329.09</v>
      </c>
      <c r="M14" s="4">
        <f t="shared" si="2"/>
        <v>17059.04</v>
      </c>
      <c r="N14" s="53">
        <f t="shared" si="3"/>
        <v>16393.93</v>
      </c>
      <c r="O14" s="60"/>
      <c r="P14" s="61">
        <v>16393.93</v>
      </c>
    </row>
    <row r="15" spans="1:17" x14ac:dyDescent="0.25">
      <c r="A15" s="50" t="s">
        <v>6</v>
      </c>
      <c r="B15" s="44">
        <f>10038.12+3372.81</f>
        <v>13410.93</v>
      </c>
      <c r="C15" s="71">
        <v>2007.62</v>
      </c>
      <c r="D15" s="78"/>
      <c r="E15" s="78"/>
      <c r="F15" s="78"/>
      <c r="G15" s="78"/>
      <c r="H15" s="79"/>
      <c r="I15" s="41">
        <f t="shared" si="0"/>
        <v>15418.55</v>
      </c>
      <c r="J15" s="11">
        <v>3134.05</v>
      </c>
      <c r="K15" s="11">
        <v>671.11</v>
      </c>
      <c r="L15" s="4">
        <f t="shared" ref="L15:L42" si="7">I15-J15-K15-P15</f>
        <v>232.32999999999993</v>
      </c>
      <c r="M15" s="4">
        <f t="shared" si="2"/>
        <v>4037.4900000000002</v>
      </c>
      <c r="N15" s="53">
        <f t="shared" si="3"/>
        <v>11381.06</v>
      </c>
      <c r="O15" s="60"/>
      <c r="P15" s="61">
        <v>11381.06</v>
      </c>
    </row>
    <row r="16" spans="1:17" x14ac:dyDescent="0.25">
      <c r="A16" s="50" t="s">
        <v>7</v>
      </c>
      <c r="B16" s="44">
        <f>11596.7+3247.08</f>
        <v>14843.78</v>
      </c>
      <c r="C16" s="71">
        <v>4638.68</v>
      </c>
      <c r="D16" s="78"/>
      <c r="E16" s="78"/>
      <c r="F16" s="78"/>
      <c r="G16" s="78"/>
      <c r="H16" s="79"/>
      <c r="I16" s="41">
        <f t="shared" si="0"/>
        <v>19482.46</v>
      </c>
      <c r="J16" s="11">
        <v>4251.62</v>
      </c>
      <c r="K16" s="11">
        <v>671.11</v>
      </c>
      <c r="L16" s="4">
        <f t="shared" si="7"/>
        <v>107.02999999999884</v>
      </c>
      <c r="M16" s="4">
        <f t="shared" si="2"/>
        <v>5029.7599999999984</v>
      </c>
      <c r="N16" s="53">
        <f t="shared" si="3"/>
        <v>14452.7</v>
      </c>
      <c r="O16" s="60"/>
      <c r="P16" s="61">
        <v>14452.7</v>
      </c>
    </row>
    <row r="17" spans="1:16" x14ac:dyDescent="0.25">
      <c r="A17" s="50" t="s">
        <v>8</v>
      </c>
      <c r="B17" s="44">
        <v>2355.38</v>
      </c>
      <c r="C17" s="71"/>
      <c r="D17" s="78"/>
      <c r="E17" s="78"/>
      <c r="F17" s="78"/>
      <c r="G17" s="78"/>
      <c r="H17" s="79"/>
      <c r="I17" s="41">
        <f t="shared" si="0"/>
        <v>2355.38</v>
      </c>
      <c r="J17" s="11">
        <v>17.96</v>
      </c>
      <c r="K17" s="11">
        <v>211.98</v>
      </c>
      <c r="L17" s="4">
        <f t="shared" si="7"/>
        <v>16.960000000000036</v>
      </c>
      <c r="M17" s="4">
        <f t="shared" si="2"/>
        <v>246.90000000000003</v>
      </c>
      <c r="N17" s="53">
        <f t="shared" si="3"/>
        <v>2108.48</v>
      </c>
      <c r="O17" s="60"/>
      <c r="P17" s="61">
        <v>2108.48</v>
      </c>
    </row>
    <row r="18" spans="1:16" x14ac:dyDescent="0.25">
      <c r="A18" s="50" t="s">
        <v>9</v>
      </c>
      <c r="B18" s="44">
        <v>2155.4299999999998</v>
      </c>
      <c r="C18" s="71"/>
      <c r="D18" s="78"/>
      <c r="E18" s="78"/>
      <c r="F18" s="78"/>
      <c r="G18" s="78"/>
      <c r="H18" s="79"/>
      <c r="I18" s="41">
        <f t="shared" si="0"/>
        <v>2155.4299999999998</v>
      </c>
      <c r="J18" s="11"/>
      <c r="K18" s="11">
        <v>193.98</v>
      </c>
      <c r="L18" s="4">
        <f t="shared" si="7"/>
        <v>221.48999999999978</v>
      </c>
      <c r="M18" s="4">
        <f t="shared" si="2"/>
        <v>415.4699999999998</v>
      </c>
      <c r="N18" s="53">
        <f t="shared" si="3"/>
        <v>1739.96</v>
      </c>
      <c r="O18" s="60"/>
      <c r="P18" s="61">
        <v>1739.96</v>
      </c>
    </row>
    <row r="19" spans="1:16" x14ac:dyDescent="0.25">
      <c r="A19" s="50" t="s">
        <v>82</v>
      </c>
      <c r="B19" s="44">
        <v>2609.88</v>
      </c>
      <c r="C19" s="71"/>
      <c r="D19" s="78"/>
      <c r="E19" s="78"/>
      <c r="F19" s="78"/>
      <c r="G19" s="78"/>
      <c r="H19" s="79"/>
      <c r="I19" s="41">
        <f t="shared" si="0"/>
        <v>2609.88</v>
      </c>
      <c r="J19" s="11">
        <v>21.11</v>
      </c>
      <c r="K19" s="11">
        <v>234.88</v>
      </c>
      <c r="L19" s="4">
        <f t="shared" si="7"/>
        <v>241.67000000000007</v>
      </c>
      <c r="M19" s="4">
        <f t="shared" si="2"/>
        <v>497.66000000000008</v>
      </c>
      <c r="N19" s="53">
        <f t="shared" si="3"/>
        <v>2112.2200000000003</v>
      </c>
      <c r="O19" s="60"/>
      <c r="P19" s="61">
        <v>2112.2199999999998</v>
      </c>
    </row>
    <row r="20" spans="1:16" x14ac:dyDescent="0.25">
      <c r="A20" s="50" t="s">
        <v>10</v>
      </c>
      <c r="B20" s="44">
        <f>4865.03+758.95</f>
        <v>5623.98</v>
      </c>
      <c r="C20" s="71">
        <v>973.01</v>
      </c>
      <c r="D20" s="78"/>
      <c r="E20" s="78"/>
      <c r="F20" s="78"/>
      <c r="G20" s="78"/>
      <c r="H20" s="79"/>
      <c r="I20" s="41">
        <f t="shared" si="0"/>
        <v>6596.99</v>
      </c>
      <c r="J20" s="11">
        <v>655.98</v>
      </c>
      <c r="K20" s="11">
        <v>671.11</v>
      </c>
      <c r="L20" s="4">
        <f t="shared" si="7"/>
        <v>369.16000000000076</v>
      </c>
      <c r="M20" s="4">
        <f t="shared" si="2"/>
        <v>1696.2500000000009</v>
      </c>
      <c r="N20" s="53">
        <f t="shared" si="3"/>
        <v>4900.7399999999989</v>
      </c>
      <c r="O20" s="60"/>
      <c r="P20" s="61">
        <v>4900.74</v>
      </c>
    </row>
    <row r="21" spans="1:16" x14ac:dyDescent="0.25">
      <c r="A21" s="50" t="s">
        <v>11</v>
      </c>
      <c r="B21" s="44">
        <v>2355.38</v>
      </c>
      <c r="C21" s="71"/>
      <c r="D21" s="78"/>
      <c r="E21" s="78"/>
      <c r="F21" s="78"/>
      <c r="G21" s="78"/>
      <c r="H21" s="79"/>
      <c r="I21" s="41">
        <f t="shared" si="0"/>
        <v>2355.38</v>
      </c>
      <c r="J21" s="11">
        <v>17.96</v>
      </c>
      <c r="K21" s="11">
        <v>211.98</v>
      </c>
      <c r="L21" s="4">
        <f t="shared" si="7"/>
        <v>267.02999999999997</v>
      </c>
      <c r="M21" s="4">
        <f t="shared" si="2"/>
        <v>496.96999999999997</v>
      </c>
      <c r="N21" s="53">
        <f t="shared" si="3"/>
        <v>1858.41</v>
      </c>
      <c r="O21" s="60"/>
      <c r="P21" s="61">
        <v>1858.41</v>
      </c>
    </row>
    <row r="22" spans="1:16" x14ac:dyDescent="0.25">
      <c r="A22" s="50" t="s">
        <v>12</v>
      </c>
      <c r="B22" s="44">
        <f>12788.71+6912.3</f>
        <v>19701.009999999998</v>
      </c>
      <c r="C22" s="71">
        <v>17264.759999999998</v>
      </c>
      <c r="D22" s="78"/>
      <c r="E22" s="78"/>
      <c r="F22" s="78"/>
      <c r="G22" s="78"/>
      <c r="H22" s="79"/>
      <c r="I22" s="41">
        <f t="shared" si="0"/>
        <v>36965.769999999997</v>
      </c>
      <c r="J22" s="11">
        <v>9111.67</v>
      </c>
      <c r="K22" s="11">
        <v>671.11</v>
      </c>
      <c r="L22" s="4">
        <f t="shared" si="7"/>
        <v>263.69999999999709</v>
      </c>
      <c r="M22" s="4">
        <f t="shared" si="2"/>
        <v>10046.479999999998</v>
      </c>
      <c r="N22" s="53">
        <f t="shared" si="3"/>
        <v>26919.29</v>
      </c>
      <c r="O22" s="60"/>
      <c r="P22" s="61">
        <v>26919.29</v>
      </c>
    </row>
    <row r="23" spans="1:16" x14ac:dyDescent="0.25">
      <c r="A23" s="50" t="s">
        <v>13</v>
      </c>
      <c r="B23" s="44">
        <f>11596.7+3479.01</f>
        <v>15075.710000000001</v>
      </c>
      <c r="C23" s="71">
        <v>2319.34</v>
      </c>
      <c r="D23" s="78"/>
      <c r="E23" s="78"/>
      <c r="F23" s="78"/>
      <c r="G23" s="78"/>
      <c r="H23" s="79"/>
      <c r="I23" s="41">
        <f t="shared" si="0"/>
        <v>17395.050000000003</v>
      </c>
      <c r="J23" s="11">
        <v>3677.59</v>
      </c>
      <c r="K23" s="11">
        <v>671.11</v>
      </c>
      <c r="L23" s="4">
        <f t="shared" si="7"/>
        <v>2144.8300000000017</v>
      </c>
      <c r="M23" s="4">
        <f t="shared" si="2"/>
        <v>6493.5300000000016</v>
      </c>
      <c r="N23" s="53">
        <f t="shared" si="3"/>
        <v>10901.52</v>
      </c>
      <c r="O23" s="60"/>
      <c r="P23" s="61">
        <v>10901.52</v>
      </c>
    </row>
    <row r="24" spans="1:16" x14ac:dyDescent="0.25">
      <c r="A24" s="50" t="s">
        <v>14</v>
      </c>
      <c r="B24" s="44">
        <f>2524.76+530.2</f>
        <v>3054.96</v>
      </c>
      <c r="C24" s="71"/>
      <c r="D24" s="78"/>
      <c r="E24" s="78">
        <f>3054.96+1018.32</f>
        <v>4073.28</v>
      </c>
      <c r="F24" s="78"/>
      <c r="G24" s="78"/>
      <c r="H24" s="79"/>
      <c r="I24" s="41">
        <f t="shared" si="0"/>
        <v>7128.24</v>
      </c>
      <c r="J24" s="11">
        <f>132.11+41.15</f>
        <v>173.26000000000002</v>
      </c>
      <c r="K24" s="11">
        <f>448.06+223.05</f>
        <v>671.11</v>
      </c>
      <c r="L24" s="4">
        <f t="shared" si="7"/>
        <v>4774.33</v>
      </c>
      <c r="M24" s="4">
        <f t="shared" si="2"/>
        <v>5618.7</v>
      </c>
      <c r="N24" s="53">
        <f t="shared" si="3"/>
        <v>1509.54</v>
      </c>
      <c r="O24" s="60"/>
      <c r="P24" s="61">
        <v>1509.54</v>
      </c>
    </row>
    <row r="25" spans="1:16" x14ac:dyDescent="0.25">
      <c r="A25" s="50" t="s">
        <v>69</v>
      </c>
      <c r="B25" s="44">
        <f>2688.44+53.77</f>
        <v>2742.21</v>
      </c>
      <c r="C25" s="71"/>
      <c r="D25" s="78"/>
      <c r="E25" s="78"/>
      <c r="F25" s="78"/>
      <c r="G25" s="78"/>
      <c r="H25" s="79"/>
      <c r="I25" s="41">
        <f t="shared" si="0"/>
        <v>2742.21</v>
      </c>
      <c r="J25" s="11">
        <v>33.130000000000003</v>
      </c>
      <c r="K25" s="11">
        <v>231.99</v>
      </c>
      <c r="L25" s="4">
        <f t="shared" si="7"/>
        <v>266.34000000000015</v>
      </c>
      <c r="M25" s="4">
        <f t="shared" si="2"/>
        <v>531.46000000000015</v>
      </c>
      <c r="N25" s="53">
        <f t="shared" si="3"/>
        <v>2210.75</v>
      </c>
      <c r="O25" s="60"/>
      <c r="P25" s="61">
        <v>2210.75</v>
      </c>
    </row>
    <row r="26" spans="1:16" x14ac:dyDescent="0.25">
      <c r="A26" s="50" t="s">
        <v>15</v>
      </c>
      <c r="B26" s="44">
        <f>3865.57+1159.67</f>
        <v>5025.24</v>
      </c>
      <c r="C26" s="71">
        <v>773.11</v>
      </c>
      <c r="D26" s="78"/>
      <c r="E26" s="78">
        <f>11596.7+3865.57</f>
        <v>15462.27</v>
      </c>
      <c r="F26" s="78">
        <f>5798.35+1932.78</f>
        <v>7731.13</v>
      </c>
      <c r="G26" s="78"/>
      <c r="H26" s="79"/>
      <c r="I26" s="41">
        <f t="shared" si="0"/>
        <v>28991.75</v>
      </c>
      <c r="J26" s="11">
        <f>3146.07+673.05</f>
        <v>3819.12</v>
      </c>
      <c r="K26" s="11">
        <v>671.11</v>
      </c>
      <c r="L26" s="4">
        <f t="shared" si="7"/>
        <v>21179.58</v>
      </c>
      <c r="M26" s="4">
        <f t="shared" si="2"/>
        <v>25669.81</v>
      </c>
      <c r="N26" s="53">
        <f t="shared" si="3"/>
        <v>3321.9399999999987</v>
      </c>
      <c r="O26" s="60"/>
      <c r="P26" s="61">
        <v>3321.94</v>
      </c>
    </row>
    <row r="27" spans="1:16" x14ac:dyDescent="0.25">
      <c r="A27" s="50" t="s">
        <v>16</v>
      </c>
      <c r="B27" s="44">
        <v>6513.87</v>
      </c>
      <c r="C27" s="71"/>
      <c r="D27" s="78"/>
      <c r="E27" s="78"/>
      <c r="F27" s="78"/>
      <c r="G27" s="78"/>
      <c r="H27" s="79"/>
      <c r="I27" s="41">
        <f t="shared" si="0"/>
        <v>6513.87</v>
      </c>
      <c r="J27" s="11">
        <v>633.12</v>
      </c>
      <c r="K27" s="11">
        <v>671.11</v>
      </c>
      <c r="L27" s="4">
        <f t="shared" si="7"/>
        <v>5.9500000000007276</v>
      </c>
      <c r="M27" s="4">
        <f t="shared" si="2"/>
        <v>1310.1800000000007</v>
      </c>
      <c r="N27" s="53">
        <f>SUM(I27-M27)+G27</f>
        <v>5203.6899999999987</v>
      </c>
      <c r="O27" s="60"/>
      <c r="P27" s="61">
        <v>5203.6899999999996</v>
      </c>
    </row>
    <row r="28" spans="1:16" x14ac:dyDescent="0.25">
      <c r="A28" s="50" t="s">
        <v>17</v>
      </c>
      <c r="B28" s="44">
        <v>7120.64</v>
      </c>
      <c r="C28" s="71"/>
      <c r="D28" s="78"/>
      <c r="E28" s="78"/>
      <c r="F28" s="78"/>
      <c r="G28" s="78"/>
      <c r="H28" s="79"/>
      <c r="I28" s="41">
        <f t="shared" si="0"/>
        <v>7120.64</v>
      </c>
      <c r="J28" s="11">
        <v>904.26</v>
      </c>
      <c r="K28" s="11">
        <f>227.86+443.25</f>
        <v>671.11</v>
      </c>
      <c r="L28" s="4">
        <f t="shared" si="7"/>
        <v>5.9500000000007276</v>
      </c>
      <c r="M28" s="4">
        <f t="shared" si="2"/>
        <v>1581.3200000000006</v>
      </c>
      <c r="N28" s="53">
        <f t="shared" si="3"/>
        <v>5539.32</v>
      </c>
      <c r="O28" s="60"/>
      <c r="P28" s="61">
        <v>5539.32</v>
      </c>
    </row>
    <row r="29" spans="1:16" x14ac:dyDescent="0.25">
      <c r="A29" s="50" t="s">
        <v>18</v>
      </c>
      <c r="B29" s="45">
        <f>2117.43+148.22</f>
        <v>2265.6499999999996</v>
      </c>
      <c r="C29" s="72"/>
      <c r="D29" s="78"/>
      <c r="E29" s="78"/>
      <c r="F29" s="78"/>
      <c r="G29" s="78"/>
      <c r="H29" s="79"/>
      <c r="I29" s="41">
        <f t="shared" si="0"/>
        <v>2265.6499999999996</v>
      </c>
      <c r="J29" s="11"/>
      <c r="K29" s="11">
        <v>198.04</v>
      </c>
      <c r="L29" s="4">
        <f t="shared" si="7"/>
        <v>634.80999999999972</v>
      </c>
      <c r="M29" s="4">
        <f t="shared" si="2"/>
        <v>832.84999999999968</v>
      </c>
      <c r="N29" s="53">
        <f t="shared" si="3"/>
        <v>1432.8</v>
      </c>
      <c r="O29" s="60"/>
      <c r="P29" s="61">
        <v>1432.8</v>
      </c>
    </row>
    <row r="30" spans="1:16" x14ac:dyDescent="0.25">
      <c r="A30" s="50" t="s">
        <v>19</v>
      </c>
      <c r="B30" s="44">
        <f>4156.99+979.83</f>
        <v>5136.82</v>
      </c>
      <c r="C30" s="71">
        <v>1000</v>
      </c>
      <c r="D30" s="78"/>
      <c r="E30" s="78"/>
      <c r="F30" s="78"/>
      <c r="G30" s="78"/>
      <c r="H30" s="79"/>
      <c r="I30" s="41">
        <f t="shared" si="0"/>
        <v>6136.82</v>
      </c>
      <c r="J30" s="11">
        <v>529.44000000000005</v>
      </c>
      <c r="K30" s="11">
        <v>671.11</v>
      </c>
      <c r="L30" s="4">
        <f t="shared" si="7"/>
        <v>644.54</v>
      </c>
      <c r="M30" s="4">
        <f t="shared" si="2"/>
        <v>1845.0900000000001</v>
      </c>
      <c r="N30" s="53">
        <f t="shared" si="3"/>
        <v>4291.7299999999996</v>
      </c>
      <c r="O30" s="60"/>
      <c r="P30" s="61">
        <v>4291.7299999999996</v>
      </c>
    </row>
    <row r="31" spans="1:16" x14ac:dyDescent="0.25">
      <c r="A31" s="50" t="s">
        <v>20</v>
      </c>
      <c r="B31" s="44">
        <v>5974.71</v>
      </c>
      <c r="C31" s="71"/>
      <c r="D31" s="78"/>
      <c r="E31" s="78"/>
      <c r="F31" s="78"/>
      <c r="G31" s="78"/>
      <c r="H31" s="79"/>
      <c r="I31" s="41">
        <f t="shared" si="0"/>
        <v>5974.71</v>
      </c>
      <c r="J31" s="11">
        <v>592.95000000000005</v>
      </c>
      <c r="K31" s="11">
        <v>657.21</v>
      </c>
      <c r="L31" s="4">
        <f t="shared" si="7"/>
        <v>215.44999999999982</v>
      </c>
      <c r="M31" s="4">
        <f t="shared" si="2"/>
        <v>1465.61</v>
      </c>
      <c r="N31" s="53">
        <f t="shared" si="3"/>
        <v>4509.1000000000004</v>
      </c>
      <c r="O31" s="60"/>
      <c r="P31" s="61">
        <v>4509.1000000000004</v>
      </c>
    </row>
    <row r="32" spans="1:16" x14ac:dyDescent="0.25">
      <c r="A32" s="50" t="s">
        <v>21</v>
      </c>
      <c r="B32" s="44">
        <v>7019.25</v>
      </c>
      <c r="C32" s="71"/>
      <c r="D32" s="78"/>
      <c r="E32" s="78"/>
      <c r="F32" s="78"/>
      <c r="G32" s="78"/>
      <c r="H32" s="79"/>
      <c r="I32" s="41">
        <f t="shared" si="0"/>
        <v>7019.25</v>
      </c>
      <c r="J32" s="11">
        <v>876.38</v>
      </c>
      <c r="K32" s="11">
        <v>671.11</v>
      </c>
      <c r="L32" s="4">
        <f t="shared" si="7"/>
        <v>1381</v>
      </c>
      <c r="M32" s="4">
        <f t="shared" si="2"/>
        <v>2928.49</v>
      </c>
      <c r="N32" s="53">
        <f t="shared" si="3"/>
        <v>4090.76</v>
      </c>
      <c r="O32" s="60"/>
      <c r="P32" s="61">
        <v>4090.76</v>
      </c>
    </row>
    <row r="33" spans="1:16" x14ac:dyDescent="0.25">
      <c r="A33" s="50" t="s">
        <v>74</v>
      </c>
      <c r="B33" s="44">
        <f>3582.46+35.82</f>
        <v>3618.28</v>
      </c>
      <c r="C33" s="71"/>
      <c r="D33" s="78"/>
      <c r="E33" s="78">
        <f>723.66+241.22+6.95+2.32</f>
        <v>974.15000000000009</v>
      </c>
      <c r="F33" s="78"/>
      <c r="G33" s="78"/>
      <c r="H33" s="79"/>
      <c r="I33" s="41">
        <f t="shared" si="0"/>
        <v>4592.43</v>
      </c>
      <c r="J33" s="11">
        <v>123.86</v>
      </c>
      <c r="K33" s="11">
        <f>77.93+427.23</f>
        <v>505.16</v>
      </c>
      <c r="L33" s="4">
        <f t="shared" ref="L33" si="8">I33-J33-K33-P33</f>
        <v>937.11000000000058</v>
      </c>
      <c r="M33" s="4">
        <f t="shared" ref="M33" si="9">SUM(J33:L33)</f>
        <v>1566.1300000000006</v>
      </c>
      <c r="N33" s="53">
        <f>SUM(I33-M33)+G33</f>
        <v>3026.2999999999997</v>
      </c>
      <c r="O33" s="60"/>
      <c r="P33" s="61">
        <v>3026.3</v>
      </c>
    </row>
    <row r="34" spans="1:16" x14ac:dyDescent="0.25">
      <c r="A34" s="50" t="s">
        <v>22</v>
      </c>
      <c r="B34" s="44">
        <f>1442.26+288.45</f>
        <v>1730.71</v>
      </c>
      <c r="C34" s="71"/>
      <c r="D34" s="78"/>
      <c r="E34" s="78">
        <f>266.26+88.75</f>
        <v>355.01</v>
      </c>
      <c r="F34" s="78"/>
      <c r="G34" s="78"/>
      <c r="H34" s="79"/>
      <c r="I34" s="41">
        <f t="shared" si="0"/>
        <v>2085.7200000000003</v>
      </c>
      <c r="J34" s="11"/>
      <c r="K34" s="11">
        <f>28.4+158.95</f>
        <v>187.35</v>
      </c>
      <c r="L34" s="4">
        <f t="shared" si="7"/>
        <v>436.40000000000032</v>
      </c>
      <c r="M34" s="4">
        <f t="shared" si="2"/>
        <v>623.75000000000034</v>
      </c>
      <c r="N34" s="53">
        <f>SUM(I34-M34)+G34</f>
        <v>1461.9699999999998</v>
      </c>
      <c r="O34" s="60"/>
      <c r="P34" s="61">
        <v>1461.97</v>
      </c>
    </row>
    <row r="35" spans="1:16" x14ac:dyDescent="0.25">
      <c r="A35" s="50" t="s">
        <v>23</v>
      </c>
      <c r="B35" s="44">
        <f>4212.19+556.01</f>
        <v>4768.2</v>
      </c>
      <c r="C35" s="71">
        <v>842.44</v>
      </c>
      <c r="D35" s="78"/>
      <c r="E35" s="78">
        <f>863.17+287.73</f>
        <v>1150.9000000000001</v>
      </c>
      <c r="F35" s="78"/>
      <c r="G35" s="78"/>
      <c r="H35" s="79"/>
      <c r="I35" s="41">
        <f t="shared" si="0"/>
        <v>6761.5399999999991</v>
      </c>
      <c r="J35" s="11">
        <f>228.13+523.83</f>
        <v>751.96</v>
      </c>
      <c r="K35" s="11">
        <f>126.6+544.51</f>
        <v>671.11</v>
      </c>
      <c r="L35" s="4">
        <f t="shared" si="7"/>
        <v>861.35999999999967</v>
      </c>
      <c r="M35" s="4">
        <f t="shared" si="2"/>
        <v>2284.4299999999998</v>
      </c>
      <c r="N35" s="53">
        <f t="shared" si="3"/>
        <v>4477.1099999999988</v>
      </c>
      <c r="O35" s="60"/>
      <c r="P35" s="61">
        <v>4477.1099999999997</v>
      </c>
    </row>
    <row r="36" spans="1:16" x14ac:dyDescent="0.25">
      <c r="A36" s="50" t="s">
        <v>24</v>
      </c>
      <c r="B36" s="44">
        <f>11596.7+3479.01</f>
        <v>15075.710000000001</v>
      </c>
      <c r="C36" s="71">
        <v>2319.34</v>
      </c>
      <c r="D36" s="78"/>
      <c r="E36" s="78"/>
      <c r="F36" s="78"/>
      <c r="G36" s="78"/>
      <c r="H36" s="79"/>
      <c r="I36" s="41">
        <f t="shared" si="0"/>
        <v>17395.050000000003</v>
      </c>
      <c r="J36" s="11">
        <v>3677.59</v>
      </c>
      <c r="K36" s="11">
        <v>671.11</v>
      </c>
      <c r="L36" s="4">
        <f t="shared" si="7"/>
        <v>503.38000000000284</v>
      </c>
      <c r="M36" s="4">
        <f t="shared" si="2"/>
        <v>4852.0800000000027</v>
      </c>
      <c r="N36" s="53">
        <f>SUM(I36-M36)+G36</f>
        <v>12542.970000000001</v>
      </c>
      <c r="O36" s="60"/>
      <c r="P36" s="61">
        <v>12542.97</v>
      </c>
    </row>
    <row r="37" spans="1:16" x14ac:dyDescent="0.25">
      <c r="A37" s="50" t="s">
        <v>25</v>
      </c>
      <c r="B37" s="44">
        <f>9663.92+2667.24</f>
        <v>12331.16</v>
      </c>
      <c r="C37" s="71">
        <v>1932.78</v>
      </c>
      <c r="D37" s="78"/>
      <c r="E37" s="78">
        <f>2852.79+950.93</f>
        <v>3803.72</v>
      </c>
      <c r="F37" s="78"/>
      <c r="G37" s="78"/>
      <c r="H37" s="79"/>
      <c r="I37" s="41">
        <f t="shared" si="0"/>
        <v>18067.66</v>
      </c>
      <c r="J37" s="11">
        <f>124.56+2931.59</f>
        <v>3056.15</v>
      </c>
      <c r="K37" s="11">
        <f>642.33+28.78</f>
        <v>671.11</v>
      </c>
      <c r="L37" s="4">
        <f t="shared" si="7"/>
        <v>3266.7099999999991</v>
      </c>
      <c r="M37" s="4">
        <f t="shared" si="2"/>
        <v>6993.9699999999993</v>
      </c>
      <c r="N37" s="53">
        <f t="shared" si="3"/>
        <v>11073.69</v>
      </c>
      <c r="O37" s="60"/>
      <c r="P37" s="61">
        <v>11073.69</v>
      </c>
    </row>
    <row r="38" spans="1:16" x14ac:dyDescent="0.25">
      <c r="A38" s="50" t="s">
        <v>75</v>
      </c>
      <c r="B38" s="44">
        <f>1748.87+209.86</f>
        <v>1958.73</v>
      </c>
      <c r="C38" s="71">
        <v>349.77</v>
      </c>
      <c r="D38" s="78"/>
      <c r="E38" s="78">
        <f>3987.42+1329.14</f>
        <v>5316.56</v>
      </c>
      <c r="F38" s="78"/>
      <c r="G38" s="78"/>
      <c r="H38" s="79"/>
      <c r="I38" s="41">
        <f t="shared" si="0"/>
        <v>7625.06</v>
      </c>
      <c r="J38" s="11">
        <f>431.87+23.87</f>
        <v>455.74</v>
      </c>
      <c r="K38" s="11">
        <f>584.82+86.29</f>
        <v>671.11</v>
      </c>
      <c r="L38" s="4">
        <f t="shared" si="7"/>
        <v>4491.4900000000007</v>
      </c>
      <c r="M38" s="4">
        <f t="shared" si="2"/>
        <v>5618.34</v>
      </c>
      <c r="N38" s="53">
        <f t="shared" si="3"/>
        <v>2006.7200000000003</v>
      </c>
      <c r="O38" s="60"/>
      <c r="P38" s="61">
        <v>2006.72</v>
      </c>
    </row>
    <row r="39" spans="1:16" x14ac:dyDescent="0.25">
      <c r="A39" s="50" t="s">
        <v>26</v>
      </c>
      <c r="B39" s="44">
        <f>1502.81+108.2</f>
        <v>1611.01</v>
      </c>
      <c r="C39" s="71">
        <v>300.56</v>
      </c>
      <c r="D39" s="78"/>
      <c r="E39" s="78">
        <f>3823.14+1274.38</f>
        <v>5097.5200000000004</v>
      </c>
      <c r="F39" s="78">
        <f>1911.57+637.19</f>
        <v>2548.7600000000002</v>
      </c>
      <c r="G39" s="78"/>
      <c r="H39" s="79"/>
      <c r="I39" s="41">
        <f t="shared" si="0"/>
        <v>9557.85</v>
      </c>
      <c r="J39" s="11">
        <v>341.99</v>
      </c>
      <c r="K39" s="11">
        <f>560.72+110.39</f>
        <v>671.11</v>
      </c>
      <c r="L39" s="4">
        <f t="shared" si="7"/>
        <v>8151.64</v>
      </c>
      <c r="M39" s="4">
        <f t="shared" si="2"/>
        <v>9164.74</v>
      </c>
      <c r="N39" s="53">
        <f>SUM(I39-M39)+G39</f>
        <v>393.11000000000058</v>
      </c>
      <c r="O39" s="60"/>
      <c r="P39" s="61">
        <v>393.11</v>
      </c>
    </row>
    <row r="40" spans="1:16" x14ac:dyDescent="0.25">
      <c r="A40" s="50" t="s">
        <v>71</v>
      </c>
      <c r="B40" s="44">
        <v>1803.19</v>
      </c>
      <c r="C40" s="71"/>
      <c r="D40" s="78"/>
      <c r="E40" s="78"/>
      <c r="F40" s="78"/>
      <c r="G40" s="78"/>
      <c r="H40" s="79"/>
      <c r="I40" s="41">
        <f t="shared" si="0"/>
        <v>1803.19</v>
      </c>
      <c r="J40" s="11"/>
      <c r="K40" s="11">
        <v>144.25</v>
      </c>
      <c r="L40" s="4">
        <f t="shared" ref="L40" si="10">I40-J40-K40-P40</f>
        <v>14.789999999999964</v>
      </c>
      <c r="M40" s="4">
        <f t="shared" ref="M40" si="11">SUM(J40:L40)</f>
        <v>159.03999999999996</v>
      </c>
      <c r="N40" s="53">
        <f t="shared" ref="N40" si="12">SUM(I40-M40)</f>
        <v>1644.15</v>
      </c>
      <c r="O40" s="60"/>
      <c r="P40" s="61">
        <v>1644.15</v>
      </c>
    </row>
    <row r="41" spans="1:16" x14ac:dyDescent="0.25">
      <c r="A41" s="50" t="s">
        <v>27</v>
      </c>
      <c r="B41" s="44">
        <v>2892.6</v>
      </c>
      <c r="C41" s="71"/>
      <c r="D41" s="78"/>
      <c r="E41" s="78"/>
      <c r="F41" s="78"/>
      <c r="G41" s="78"/>
      <c r="H41" s="79"/>
      <c r="I41" s="41">
        <f t="shared" si="0"/>
        <v>2892.6</v>
      </c>
      <c r="J41" s="11">
        <v>54.62</v>
      </c>
      <c r="K41" s="11">
        <v>260.33</v>
      </c>
      <c r="L41" s="4">
        <f t="shared" si="7"/>
        <v>825.35000000000014</v>
      </c>
      <c r="M41" s="4">
        <f t="shared" si="2"/>
        <v>1140.3000000000002</v>
      </c>
      <c r="N41" s="53">
        <f t="shared" si="3"/>
        <v>1752.2999999999997</v>
      </c>
      <c r="O41" s="60"/>
      <c r="P41" s="61">
        <v>1752.3</v>
      </c>
    </row>
    <row r="42" spans="1:16" ht="15.75" thickBot="1" x14ac:dyDescent="0.3">
      <c r="A42" s="50" t="s">
        <v>28</v>
      </c>
      <c r="B42" s="46">
        <f>9663.92+2783.21</f>
        <v>12447.130000000001</v>
      </c>
      <c r="C42" s="73">
        <v>1932.78</v>
      </c>
      <c r="D42" s="78"/>
      <c r="E42" s="78">
        <f>2875.98+958.66</f>
        <v>3834.64</v>
      </c>
      <c r="F42" s="78"/>
      <c r="G42" s="78"/>
      <c r="H42" s="79"/>
      <c r="I42" s="42">
        <f t="shared" si="0"/>
        <v>18214.550000000003</v>
      </c>
      <c r="J42" s="11">
        <f>100.25+2912.28</f>
        <v>3012.53</v>
      </c>
      <c r="K42" s="11">
        <f>421.81+249.3</f>
        <v>671.11</v>
      </c>
      <c r="L42" s="4">
        <f t="shared" si="7"/>
        <v>3375.5300000000025</v>
      </c>
      <c r="M42" s="4">
        <f t="shared" si="2"/>
        <v>7059.1700000000028</v>
      </c>
      <c r="N42" s="54">
        <f t="shared" si="3"/>
        <v>11155.380000000001</v>
      </c>
      <c r="O42" s="60"/>
      <c r="P42" s="61">
        <v>11155.38</v>
      </c>
    </row>
    <row r="43" spans="1:16" x14ac:dyDescent="0.25">
      <c r="A43" s="85" t="s">
        <v>58</v>
      </c>
      <c r="B43" s="87" t="s">
        <v>48</v>
      </c>
      <c r="C43" s="91" t="s">
        <v>87</v>
      </c>
      <c r="D43" s="89" t="s">
        <v>49</v>
      </c>
      <c r="E43" s="89" t="s">
        <v>88</v>
      </c>
      <c r="F43" s="66" t="s">
        <v>89</v>
      </c>
      <c r="G43" s="68" t="s">
        <v>91</v>
      </c>
      <c r="H43" s="36" t="s">
        <v>63</v>
      </c>
      <c r="I43" s="56" t="s">
        <v>50</v>
      </c>
      <c r="J43" s="108" t="s">
        <v>52</v>
      </c>
      <c r="K43" s="108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86"/>
      <c r="B44" s="88"/>
      <c r="C44" s="92"/>
      <c r="D44" s="90"/>
      <c r="E44" s="90"/>
      <c r="F44" s="67" t="s">
        <v>90</v>
      </c>
      <c r="G44" s="69" t="s">
        <v>67</v>
      </c>
      <c r="H44" s="37" t="s">
        <v>64</v>
      </c>
      <c r="I44" s="57" t="s">
        <v>51</v>
      </c>
      <c r="J44" s="109"/>
      <c r="K44" s="109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v>1984.95</v>
      </c>
      <c r="C45" s="74"/>
      <c r="D45" s="78"/>
      <c r="E45" s="78"/>
      <c r="F45" s="78"/>
      <c r="G45" s="78"/>
      <c r="H45" s="79"/>
      <c r="I45" s="47">
        <f t="shared" ref="I45:I66" si="13">SUM(B45:H45)-G45</f>
        <v>1984.95</v>
      </c>
      <c r="J45" s="11"/>
      <c r="K45" s="11">
        <v>178.64</v>
      </c>
      <c r="L45" s="4">
        <f t="shared" ref="L45:L66" si="14">I45-J45-K45-P45</f>
        <v>683.40999999999985</v>
      </c>
      <c r="M45" s="4">
        <f t="shared" si="2"/>
        <v>862.04999999999984</v>
      </c>
      <c r="N45" s="55">
        <f t="shared" si="3"/>
        <v>1122.9000000000001</v>
      </c>
      <c r="O45" s="60"/>
      <c r="P45" s="61">
        <v>1122.9000000000001</v>
      </c>
    </row>
    <row r="46" spans="1:16" x14ac:dyDescent="0.25">
      <c r="A46" s="50" t="s">
        <v>30</v>
      </c>
      <c r="B46" s="44">
        <v>4056.05</v>
      </c>
      <c r="C46" s="71"/>
      <c r="D46" s="78"/>
      <c r="E46" s="78"/>
      <c r="F46" s="78"/>
      <c r="G46" s="78"/>
      <c r="H46" s="80"/>
      <c r="I46" s="41">
        <f t="shared" si="13"/>
        <v>4056.05</v>
      </c>
      <c r="J46" s="11">
        <v>186.68</v>
      </c>
      <c r="K46" s="11">
        <v>446.16</v>
      </c>
      <c r="L46" s="4">
        <f t="shared" si="14"/>
        <v>436.28000000000065</v>
      </c>
      <c r="M46" s="4">
        <f t="shared" si="2"/>
        <v>1069.1200000000008</v>
      </c>
      <c r="N46" s="53">
        <f t="shared" si="3"/>
        <v>2986.9299999999994</v>
      </c>
      <c r="O46" s="60"/>
      <c r="P46" s="61">
        <v>2986.93</v>
      </c>
    </row>
    <row r="47" spans="1:16" x14ac:dyDescent="0.25">
      <c r="A47" s="50" t="s">
        <v>31</v>
      </c>
      <c r="B47" s="44">
        <v>8595.6299999999992</v>
      </c>
      <c r="C47" s="71"/>
      <c r="D47" s="78"/>
      <c r="E47" s="78"/>
      <c r="F47" s="78"/>
      <c r="G47" s="78"/>
      <c r="H47" s="80">
        <v>9461.23</v>
      </c>
      <c r="I47" s="41">
        <f t="shared" si="13"/>
        <v>18056.86</v>
      </c>
      <c r="J47" s="11">
        <v>3859.58</v>
      </c>
      <c r="K47" s="11">
        <f>642.33+28.78</f>
        <v>671.11</v>
      </c>
      <c r="L47" s="4">
        <f t="shared" si="14"/>
        <v>578.64999999999964</v>
      </c>
      <c r="M47" s="4">
        <f t="shared" si="2"/>
        <v>5109.3399999999992</v>
      </c>
      <c r="N47" s="53">
        <f t="shared" si="3"/>
        <v>12947.52</v>
      </c>
      <c r="O47" s="60"/>
      <c r="P47" s="61">
        <v>12947.52</v>
      </c>
    </row>
    <row r="48" spans="1:16" x14ac:dyDescent="0.25">
      <c r="A48" s="50" t="s">
        <v>32</v>
      </c>
      <c r="B48" s="44">
        <f>5118.87+1648.28</f>
        <v>6767.15</v>
      </c>
      <c r="C48" s="71">
        <v>2047.55</v>
      </c>
      <c r="D48" s="78"/>
      <c r="E48" s="78"/>
      <c r="F48" s="78"/>
      <c r="G48" s="78"/>
      <c r="H48" s="80"/>
      <c r="I48" s="41">
        <f t="shared" si="13"/>
        <v>8814.6999999999989</v>
      </c>
      <c r="J48" s="11">
        <v>1265.8499999999999</v>
      </c>
      <c r="K48" s="11">
        <f>642.33+28.78</f>
        <v>671.11</v>
      </c>
      <c r="L48" s="4">
        <f>I48-J48-K48-P48</f>
        <v>834.13999999999851</v>
      </c>
      <c r="M48" s="4">
        <f>SUM(J48:L48)</f>
        <v>2771.0999999999985</v>
      </c>
      <c r="N48" s="53">
        <f t="shared" si="3"/>
        <v>6043.6</v>
      </c>
      <c r="O48" s="60"/>
      <c r="P48" s="61">
        <v>6043.6</v>
      </c>
    </row>
    <row r="49" spans="1:16" x14ac:dyDescent="0.25">
      <c r="A49" s="50" t="s">
        <v>33</v>
      </c>
      <c r="B49" s="44">
        <f>4769.64+744.06</f>
        <v>5513.7000000000007</v>
      </c>
      <c r="C49" s="71">
        <v>953.93</v>
      </c>
      <c r="D49" s="78"/>
      <c r="E49" s="78"/>
      <c r="F49" s="78"/>
      <c r="G49" s="78"/>
      <c r="H49" s="80"/>
      <c r="I49" s="41">
        <f t="shared" si="13"/>
        <v>6467.630000000001</v>
      </c>
      <c r="J49" s="11">
        <v>620.41</v>
      </c>
      <c r="K49" s="11">
        <f>474.29+196.82</f>
        <v>671.11</v>
      </c>
      <c r="L49" s="4">
        <f t="shared" si="14"/>
        <v>420.94000000000142</v>
      </c>
      <c r="M49" s="4">
        <f t="shared" si="2"/>
        <v>1712.4600000000014</v>
      </c>
      <c r="N49" s="53">
        <f t="shared" si="3"/>
        <v>4755.17</v>
      </c>
      <c r="O49" s="60"/>
      <c r="P49" s="61">
        <v>4755.17</v>
      </c>
    </row>
    <row r="50" spans="1:16" x14ac:dyDescent="0.25">
      <c r="A50" s="50" t="s">
        <v>34</v>
      </c>
      <c r="B50" s="44">
        <v>6656.53</v>
      </c>
      <c r="C50" s="71"/>
      <c r="D50" s="78"/>
      <c r="E50" s="78"/>
      <c r="F50" s="78"/>
      <c r="G50" s="78"/>
      <c r="H50" s="80"/>
      <c r="I50" s="41">
        <f t="shared" si="13"/>
        <v>6656.53</v>
      </c>
      <c r="J50" s="11">
        <v>724.49</v>
      </c>
      <c r="K50" s="11">
        <v>671.11</v>
      </c>
      <c r="L50" s="4">
        <f t="shared" si="14"/>
        <v>785.30000000000018</v>
      </c>
      <c r="M50" s="4">
        <f t="shared" si="2"/>
        <v>2180.9</v>
      </c>
      <c r="N50" s="53">
        <f>SUM(I50-M50)+G50</f>
        <v>4475.6299999999992</v>
      </c>
      <c r="O50" s="60"/>
      <c r="P50" s="61">
        <v>4475.63</v>
      </c>
    </row>
    <row r="51" spans="1:16" x14ac:dyDescent="0.25">
      <c r="A51" s="50" t="s">
        <v>35</v>
      </c>
      <c r="B51" s="44">
        <f>4769.64+572.36</f>
        <v>5342</v>
      </c>
      <c r="C51" s="71">
        <v>953.93</v>
      </c>
      <c r="D51" s="78"/>
      <c r="E51" s="78"/>
      <c r="F51" s="78"/>
      <c r="G51" s="78"/>
      <c r="H51" s="80"/>
      <c r="I51" s="41">
        <f t="shared" si="13"/>
        <v>6295.93</v>
      </c>
      <c r="J51" s="11">
        <v>625.33000000000004</v>
      </c>
      <c r="K51" s="11">
        <f>335.5+335.61</f>
        <v>671.11</v>
      </c>
      <c r="L51" s="4">
        <f t="shared" si="14"/>
        <v>1314.2900000000009</v>
      </c>
      <c r="M51" s="4">
        <f t="shared" si="2"/>
        <v>2610.7300000000009</v>
      </c>
      <c r="N51" s="53">
        <f>SUM(I51-M51)+G51</f>
        <v>3685.1999999999994</v>
      </c>
      <c r="O51" s="60"/>
      <c r="P51" s="61">
        <v>3685.2</v>
      </c>
    </row>
    <row r="52" spans="1:16" x14ac:dyDescent="0.25">
      <c r="A52" s="50" t="s">
        <v>36</v>
      </c>
      <c r="B52" s="44">
        <v>4041.98</v>
      </c>
      <c r="C52" s="71"/>
      <c r="D52" s="78"/>
      <c r="E52" s="78"/>
      <c r="F52" s="78"/>
      <c r="G52" s="78"/>
      <c r="H52" s="80"/>
      <c r="I52" s="41">
        <f t="shared" si="13"/>
        <v>4041.98</v>
      </c>
      <c r="J52" s="11">
        <v>127.93</v>
      </c>
      <c r="K52" s="11">
        <v>444.61</v>
      </c>
      <c r="L52" s="4">
        <f t="shared" si="14"/>
        <v>869.02</v>
      </c>
      <c r="M52" s="4">
        <f t="shared" si="2"/>
        <v>1441.56</v>
      </c>
      <c r="N52" s="53">
        <f t="shared" si="3"/>
        <v>2600.42</v>
      </c>
      <c r="O52" s="60"/>
      <c r="P52" s="61">
        <v>2600.42</v>
      </c>
    </row>
    <row r="53" spans="1:16" x14ac:dyDescent="0.25">
      <c r="A53" s="50" t="s">
        <v>85</v>
      </c>
      <c r="B53" s="44">
        <v>2333.37</v>
      </c>
      <c r="C53" s="71"/>
      <c r="D53" s="78"/>
      <c r="E53" s="78"/>
      <c r="F53" s="78"/>
      <c r="G53" s="78"/>
      <c r="H53" s="80"/>
      <c r="I53" s="41">
        <f t="shared" si="13"/>
        <v>2333.37</v>
      </c>
      <c r="J53" s="11">
        <v>16.45</v>
      </c>
      <c r="K53" s="11">
        <v>210</v>
      </c>
      <c r="L53" s="4">
        <f t="shared" si="14"/>
        <v>5.9500000000002728</v>
      </c>
      <c r="M53" s="4">
        <f t="shared" si="2"/>
        <v>232.40000000000026</v>
      </c>
      <c r="N53" s="53">
        <f t="shared" si="3"/>
        <v>2100.9699999999998</v>
      </c>
      <c r="O53" s="60"/>
      <c r="P53" s="61">
        <v>2100.9699999999998</v>
      </c>
    </row>
    <row r="54" spans="1:16" x14ac:dyDescent="0.25">
      <c r="A54" s="50" t="s">
        <v>38</v>
      </c>
      <c r="B54" s="44">
        <f>12055.47+9162.16</f>
        <v>21217.629999999997</v>
      </c>
      <c r="C54" s="71">
        <v>12055.47</v>
      </c>
      <c r="D54" s="78"/>
      <c r="E54" s="78"/>
      <c r="F54" s="78"/>
      <c r="G54" s="78"/>
      <c r="H54" s="80"/>
      <c r="I54" s="41">
        <f t="shared" si="13"/>
        <v>33273.1</v>
      </c>
      <c r="J54" s="11">
        <v>8096.19</v>
      </c>
      <c r="K54" s="11">
        <v>671.11</v>
      </c>
      <c r="L54" s="4">
        <f t="shared" si="14"/>
        <v>561.38999999999942</v>
      </c>
      <c r="M54" s="4">
        <f t="shared" si="2"/>
        <v>9328.6899999999987</v>
      </c>
      <c r="N54" s="53">
        <f t="shared" si="3"/>
        <v>23944.41</v>
      </c>
      <c r="O54" s="60"/>
      <c r="P54" s="61">
        <v>23944.41</v>
      </c>
    </row>
    <row r="55" spans="1:16" x14ac:dyDescent="0.25">
      <c r="A55" s="50" t="s">
        <v>39</v>
      </c>
      <c r="B55" s="44">
        <f>4133.69+545.65</f>
        <v>4679.3399999999992</v>
      </c>
      <c r="C55" s="71">
        <v>826.74</v>
      </c>
      <c r="D55" s="78"/>
      <c r="E55" s="78">
        <f>847.09+282.36</f>
        <v>1129.45</v>
      </c>
      <c r="F55" s="78"/>
      <c r="G55" s="78"/>
      <c r="H55" s="80"/>
      <c r="I55" s="41">
        <f t="shared" si="13"/>
        <v>6635.5299999999988</v>
      </c>
      <c r="J55" s="11">
        <v>442.28</v>
      </c>
      <c r="K55" s="11">
        <f>124.24+546.87</f>
        <v>671.11</v>
      </c>
      <c r="L55" s="4">
        <f t="shared" si="14"/>
        <v>1204.9799999999996</v>
      </c>
      <c r="M55" s="4">
        <f t="shared" si="2"/>
        <v>2318.3699999999994</v>
      </c>
      <c r="N55" s="53">
        <f t="shared" si="3"/>
        <v>4317.16</v>
      </c>
      <c r="O55" s="60"/>
      <c r="P55" s="61">
        <v>4317.16</v>
      </c>
    </row>
    <row r="56" spans="1:16" x14ac:dyDescent="0.25">
      <c r="A56" s="50" t="s">
        <v>40</v>
      </c>
      <c r="B56" s="44">
        <f>4613.96+322.98</f>
        <v>4936.9400000000005</v>
      </c>
      <c r="C56" s="71"/>
      <c r="D56" s="78"/>
      <c r="E56" s="78">
        <f>352.64+117.55+0.31+0.1</f>
        <v>470.6</v>
      </c>
      <c r="F56" s="78"/>
      <c r="G56" s="78"/>
      <c r="H56" s="80"/>
      <c r="I56" s="41">
        <f t="shared" si="13"/>
        <v>5407.5400000000009</v>
      </c>
      <c r="J56" s="11">
        <v>309.83999999999997</v>
      </c>
      <c r="K56" s="11">
        <f>51.77+543.05</f>
        <v>594.81999999999994</v>
      </c>
      <c r="L56" s="4">
        <f t="shared" si="14"/>
        <v>1167.0600000000009</v>
      </c>
      <c r="M56" s="4">
        <f t="shared" si="2"/>
        <v>2071.7200000000007</v>
      </c>
      <c r="N56" s="53">
        <f t="shared" si="3"/>
        <v>3335.82</v>
      </c>
      <c r="O56" s="60"/>
      <c r="P56" s="61">
        <v>3335.82</v>
      </c>
    </row>
    <row r="57" spans="1:16" x14ac:dyDescent="0.25">
      <c r="A57" s="50" t="s">
        <v>70</v>
      </c>
      <c r="B57" s="44">
        <v>1803.19</v>
      </c>
      <c r="C57" s="71"/>
      <c r="D57" s="78"/>
      <c r="E57" s="78"/>
      <c r="F57" s="78"/>
      <c r="G57" s="78"/>
      <c r="H57" s="80"/>
      <c r="I57" s="41">
        <f t="shared" si="13"/>
        <v>1803.19</v>
      </c>
      <c r="J57" s="11"/>
      <c r="K57" s="11">
        <v>144.25</v>
      </c>
      <c r="L57" s="4">
        <f t="shared" ref="L57" si="15">I57-J57-K57-P57</f>
        <v>5.9500000000000455</v>
      </c>
      <c r="M57" s="4">
        <f t="shared" ref="M57" si="16">SUM(J57:L57)</f>
        <v>150.20000000000005</v>
      </c>
      <c r="N57" s="53">
        <f t="shared" ref="N57" si="17">SUM(I57-M57)</f>
        <v>1652.99</v>
      </c>
      <c r="O57" s="60"/>
      <c r="P57" s="61">
        <v>1652.99</v>
      </c>
    </row>
    <row r="58" spans="1:16" x14ac:dyDescent="0.25">
      <c r="A58" s="50" t="s">
        <v>41</v>
      </c>
      <c r="B58" s="44">
        <f>11596.7+3757.33</f>
        <v>15354.03</v>
      </c>
      <c r="C58" s="71">
        <v>2319.34</v>
      </c>
      <c r="D58" s="78"/>
      <c r="E58" s="78"/>
      <c r="F58" s="78"/>
      <c r="G58" s="78"/>
      <c r="H58" s="80"/>
      <c r="I58" s="41">
        <f t="shared" si="13"/>
        <v>17673.370000000003</v>
      </c>
      <c r="J58" s="11">
        <v>3806.26</v>
      </c>
      <c r="K58" s="11">
        <f>642.33+28.78</f>
        <v>671.11</v>
      </c>
      <c r="L58" s="4">
        <f t="shared" si="14"/>
        <v>5.9500000000025466</v>
      </c>
      <c r="M58" s="4">
        <f t="shared" si="2"/>
        <v>4483.3200000000024</v>
      </c>
      <c r="N58" s="53">
        <f>SUM(I58-M58)+G58</f>
        <v>13190.05</v>
      </c>
      <c r="O58" s="60"/>
      <c r="P58" s="61">
        <v>13190.05</v>
      </c>
    </row>
    <row r="59" spans="1:16" x14ac:dyDescent="0.25">
      <c r="A59" s="50" t="s">
        <v>42</v>
      </c>
      <c r="B59" s="44">
        <f>1650.68+214.59</f>
        <v>1865.27</v>
      </c>
      <c r="C59" s="71"/>
      <c r="D59" s="78"/>
      <c r="E59" s="78">
        <f>207.25+69.08</f>
        <v>276.33</v>
      </c>
      <c r="F59" s="78"/>
      <c r="G59" s="78"/>
      <c r="H59" s="80"/>
      <c r="I59" s="41">
        <f t="shared" si="13"/>
        <v>2141.6</v>
      </c>
      <c r="J59" s="11"/>
      <c r="K59" s="11">
        <f>22.11+170.63</f>
        <v>192.74</v>
      </c>
      <c r="L59" s="4">
        <f t="shared" si="14"/>
        <v>423.78999999999996</v>
      </c>
      <c r="M59" s="4">
        <f t="shared" si="2"/>
        <v>616.53</v>
      </c>
      <c r="N59" s="53">
        <f t="shared" si="3"/>
        <v>1525.07</v>
      </c>
      <c r="O59" s="60"/>
      <c r="P59" s="61">
        <v>1525.07</v>
      </c>
    </row>
    <row r="60" spans="1:16" x14ac:dyDescent="0.25">
      <c r="A60" s="50" t="s">
        <v>43</v>
      </c>
      <c r="B60" s="44">
        <f>3380.04+642.21</f>
        <v>4022.25</v>
      </c>
      <c r="C60" s="71"/>
      <c r="D60" s="78"/>
      <c r="E60" s="78"/>
      <c r="F60" s="78"/>
      <c r="G60" s="78"/>
      <c r="H60" s="80"/>
      <c r="I60" s="41">
        <f t="shared" si="13"/>
        <v>4022.25</v>
      </c>
      <c r="J60" s="11">
        <v>146.52000000000001</v>
      </c>
      <c r="K60" s="11">
        <v>413.07</v>
      </c>
      <c r="L60" s="4">
        <f t="shared" si="14"/>
        <v>1284.04</v>
      </c>
      <c r="M60" s="4">
        <f t="shared" si="2"/>
        <v>1843.63</v>
      </c>
      <c r="N60" s="53">
        <f t="shared" si="3"/>
        <v>2178.62</v>
      </c>
      <c r="O60" s="60"/>
      <c r="P60" s="61">
        <v>2178.62</v>
      </c>
    </row>
    <row r="61" spans="1:16" x14ac:dyDescent="0.25">
      <c r="A61" s="50" t="s">
        <v>44</v>
      </c>
      <c r="B61" s="44">
        <f>10044.75+3736.65</f>
        <v>13781.4</v>
      </c>
      <c r="C61" s="71">
        <v>2008.95</v>
      </c>
      <c r="D61" s="78"/>
      <c r="E61" s="78"/>
      <c r="F61" s="78"/>
      <c r="G61" s="78"/>
      <c r="H61" s="80"/>
      <c r="I61" s="41">
        <f t="shared" si="13"/>
        <v>15790.35</v>
      </c>
      <c r="J61" s="11">
        <v>3184.16</v>
      </c>
      <c r="K61" s="11">
        <v>671.11</v>
      </c>
      <c r="L61" s="4">
        <f t="shared" si="14"/>
        <v>1409.6499999999996</v>
      </c>
      <c r="M61" s="4">
        <f t="shared" si="2"/>
        <v>5264.92</v>
      </c>
      <c r="N61" s="53">
        <f>SUM(I61-M61)+G61</f>
        <v>10525.43</v>
      </c>
      <c r="O61" s="60"/>
      <c r="P61" s="61">
        <v>10525.43</v>
      </c>
    </row>
    <row r="62" spans="1:16" x14ac:dyDescent="0.25">
      <c r="A62" s="50" t="s">
        <v>45</v>
      </c>
      <c r="B62" s="44">
        <f>2517.4+704.87</f>
        <v>3222.27</v>
      </c>
      <c r="C62" s="71"/>
      <c r="D62" s="78"/>
      <c r="E62" s="78">
        <f>1611.13+537.04</f>
        <v>2148.17</v>
      </c>
      <c r="F62" s="78"/>
      <c r="G62" s="78"/>
      <c r="H62" s="80"/>
      <c r="I62" s="41">
        <f t="shared" si="13"/>
        <v>5370.4400000000005</v>
      </c>
      <c r="J62" s="11">
        <v>54.85</v>
      </c>
      <c r="K62" s="11">
        <f>193.33+397.41</f>
        <v>590.74</v>
      </c>
      <c r="L62" s="4">
        <f t="shared" si="14"/>
        <v>3815.6900000000005</v>
      </c>
      <c r="M62" s="4">
        <f t="shared" si="2"/>
        <v>4461.2800000000007</v>
      </c>
      <c r="N62" s="53">
        <f t="shared" si="3"/>
        <v>909.15999999999985</v>
      </c>
      <c r="O62" s="60"/>
      <c r="P62" s="61">
        <v>909.16</v>
      </c>
    </row>
    <row r="63" spans="1:16" x14ac:dyDescent="0.25">
      <c r="A63" s="50" t="s">
        <v>46</v>
      </c>
      <c r="B63" s="44">
        <v>1943.69</v>
      </c>
      <c r="C63" s="71"/>
      <c r="D63" s="78"/>
      <c r="E63" s="78"/>
      <c r="F63" s="78"/>
      <c r="G63" s="78"/>
      <c r="H63" s="80"/>
      <c r="I63" s="41">
        <f t="shared" si="13"/>
        <v>1943.69</v>
      </c>
      <c r="J63" s="11"/>
      <c r="K63" s="11">
        <v>174.93</v>
      </c>
      <c r="L63" s="4">
        <f t="shared" si="14"/>
        <v>66.509999999999991</v>
      </c>
      <c r="M63" s="4">
        <f t="shared" si="2"/>
        <v>241.44</v>
      </c>
      <c r="N63" s="53">
        <f t="shared" si="3"/>
        <v>1702.25</v>
      </c>
      <c r="O63" s="60"/>
      <c r="P63" s="61">
        <v>1702.25</v>
      </c>
    </row>
    <row r="64" spans="1:16" x14ac:dyDescent="0.25">
      <c r="A64" s="50" t="s">
        <v>86</v>
      </c>
      <c r="B64" s="44">
        <v>3850.3</v>
      </c>
      <c r="C64" s="71"/>
      <c r="D64" s="78"/>
      <c r="E64" s="78"/>
      <c r="F64" s="78"/>
      <c r="G64" s="78"/>
      <c r="H64" s="80"/>
      <c r="I64" s="41">
        <f t="shared" si="13"/>
        <v>3850.3</v>
      </c>
      <c r="J64" s="11">
        <v>159.22</v>
      </c>
      <c r="K64" s="11">
        <v>423.53</v>
      </c>
      <c r="L64" s="4">
        <f t="shared" ref="L64" si="18">I64-J64-K64-P64</f>
        <v>5.9500000000002728</v>
      </c>
      <c r="M64" s="4">
        <f t="shared" ref="M64" si="19">SUM(J64:L64)</f>
        <v>588.70000000000027</v>
      </c>
      <c r="N64" s="53">
        <f t="shared" ref="N64" si="20">SUM(I64-M64)</f>
        <v>3261.6</v>
      </c>
      <c r="O64" s="60"/>
      <c r="P64" s="61">
        <v>3261.6</v>
      </c>
    </row>
    <row r="65" spans="1:16" x14ac:dyDescent="0.25">
      <c r="A65" s="50" t="s">
        <v>84</v>
      </c>
      <c r="B65" s="44">
        <v>1699.18</v>
      </c>
      <c r="C65" s="71"/>
      <c r="D65" s="78"/>
      <c r="E65" s="78"/>
      <c r="F65" s="78"/>
      <c r="G65" s="78"/>
      <c r="H65" s="80"/>
      <c r="I65" s="41">
        <f t="shared" si="13"/>
        <v>1699.18</v>
      </c>
      <c r="J65" s="11"/>
      <c r="K65" s="11">
        <v>135.93</v>
      </c>
      <c r="L65" s="4">
        <f t="shared" ref="L65" si="21">I65-J65-K65-P65</f>
        <v>127.8599999999999</v>
      </c>
      <c r="M65" s="4">
        <f t="shared" ref="M65" si="22">SUM(J65:L65)</f>
        <v>263.78999999999991</v>
      </c>
      <c r="N65" s="53">
        <f t="shared" ref="N65" si="23">SUM(I65-M65)</f>
        <v>1435.39</v>
      </c>
      <c r="O65" s="60"/>
      <c r="P65" s="61">
        <v>1435.39</v>
      </c>
    </row>
    <row r="66" spans="1:16" ht="15.75" thickBot="1" x14ac:dyDescent="0.3">
      <c r="A66" s="51" t="s">
        <v>47</v>
      </c>
      <c r="B66" s="46">
        <f>5948.48+785.2</f>
        <v>6733.6799999999994</v>
      </c>
      <c r="C66" s="75">
        <v>1189.7</v>
      </c>
      <c r="D66" s="81"/>
      <c r="E66" s="81">
        <f>2411.46+803.82</f>
        <v>3215.28</v>
      </c>
      <c r="F66" s="81"/>
      <c r="G66" s="81"/>
      <c r="H66" s="82">
        <v>9461.2199999999993</v>
      </c>
      <c r="I66" s="42">
        <f t="shared" si="13"/>
        <v>20599.879999999997</v>
      </c>
      <c r="J66" s="38">
        <f>427.55+3287.91</f>
        <v>3715.46</v>
      </c>
      <c r="K66" s="38">
        <f>353.68+317.43</f>
        <v>671.11</v>
      </c>
      <c r="L66" s="39">
        <f t="shared" si="14"/>
        <v>2985.6199999999972</v>
      </c>
      <c r="M66" s="39">
        <f t="shared" si="2"/>
        <v>7372.1899999999969</v>
      </c>
      <c r="N66" s="54">
        <f t="shared" si="3"/>
        <v>13227.69</v>
      </c>
      <c r="O66" s="60"/>
      <c r="P66" s="61">
        <v>13227.69</v>
      </c>
    </row>
    <row r="67" spans="1:16" ht="15.75" thickBo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</row>
    <row r="68" spans="1:16" x14ac:dyDescent="0.25">
      <c r="A68" s="105" t="s">
        <v>96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7"/>
    </row>
    <row r="69" spans="1:16" x14ac:dyDescent="0.25">
      <c r="A69" s="93" t="s">
        <v>97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5"/>
    </row>
    <row r="70" spans="1:16" ht="5.25" customHeight="1" x14ac:dyDescent="0.25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</row>
    <row r="71" spans="1:16" x14ac:dyDescent="0.25">
      <c r="A71" s="99" t="s">
        <v>98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1"/>
    </row>
    <row r="72" spans="1:16" x14ac:dyDescent="0.25">
      <c r="A72" s="102" t="s">
        <v>92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4"/>
    </row>
    <row r="73" spans="1:16" x14ac:dyDescent="0.25">
      <c r="A73" s="102" t="s">
        <v>93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/>
    </row>
    <row r="74" spans="1:16" x14ac:dyDescent="0.25">
      <c r="A74" s="102" t="s">
        <v>94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4"/>
    </row>
    <row r="75" spans="1:16" ht="15.75" thickBot="1" x14ac:dyDescent="0.3">
      <c r="A75" s="117" t="s">
        <v>95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9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111" t="s">
        <v>78</v>
      </c>
      <c r="M79" s="112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344694.55999999988</v>
      </c>
      <c r="J80" s="32">
        <f>SUM(J7:J42)</f>
        <v>49751.25</v>
      </c>
      <c r="K80" s="32">
        <f>SUM(K7:K42)</f>
        <v>18146.130000000005</v>
      </c>
      <c r="L80" s="113">
        <f>SUM(N7:N42)</f>
        <v>199255.94999999998</v>
      </c>
      <c r="M80" s="114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178918.42</v>
      </c>
      <c r="J81" s="32">
        <f>SUM(J45:J66)</f>
        <v>27341.5</v>
      </c>
      <c r="K81" s="32">
        <f>SUM(K45:K66)</f>
        <v>10660.52</v>
      </c>
      <c r="L81" s="113">
        <f>SUM(N45:N66)</f>
        <v>121923.98000000003</v>
      </c>
      <c r="M81" s="114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523612.97999999986</v>
      </c>
      <c r="J82" s="34">
        <f>SUM(J80:J81)</f>
        <v>77092.75</v>
      </c>
      <c r="K82" s="34">
        <f>SUM(K80:K81)</f>
        <v>28806.650000000005</v>
      </c>
      <c r="L82" s="115">
        <f>SUM(L80:L81)</f>
        <v>321179.93</v>
      </c>
      <c r="M82" s="116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L79:M79"/>
    <mergeCell ref="L80:M80"/>
    <mergeCell ref="L81:M81"/>
    <mergeCell ref="L82:M82"/>
    <mergeCell ref="A75:N75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A69:N69"/>
    <mergeCell ref="A70:N70"/>
    <mergeCell ref="A71:N71"/>
    <mergeCell ref="A72:N72"/>
    <mergeCell ref="A74:N74"/>
    <mergeCell ref="A73:N73"/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32" t="s">
        <v>59</v>
      </c>
      <c r="B1" s="132"/>
      <c r="C1" s="132"/>
      <c r="D1" s="132"/>
      <c r="E1" s="132"/>
      <c r="F1" s="132"/>
      <c r="G1" s="132"/>
      <c r="H1" s="132"/>
      <c r="I1" s="132"/>
    </row>
    <row r="2" spans="1:12" x14ac:dyDescent="0.25">
      <c r="A2" s="132" t="s">
        <v>60</v>
      </c>
      <c r="B2" s="132"/>
      <c r="C2" s="132"/>
      <c r="D2" s="132"/>
      <c r="E2" s="132"/>
      <c r="F2" s="132"/>
      <c r="G2" s="132"/>
      <c r="H2" s="132"/>
      <c r="I2" s="132"/>
    </row>
    <row r="3" spans="1:12" ht="4.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6" t="s">
        <v>58</v>
      </c>
      <c r="B5" s="128" t="s">
        <v>48</v>
      </c>
      <c r="C5" s="128" t="s">
        <v>80</v>
      </c>
      <c r="D5" s="5" t="s">
        <v>50</v>
      </c>
      <c r="E5" s="128" t="s">
        <v>52</v>
      </c>
      <c r="F5" s="128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7"/>
      <c r="B6" s="129"/>
      <c r="C6" s="129"/>
      <c r="D6" s="6" t="s">
        <v>51</v>
      </c>
      <c r="E6" s="129"/>
      <c r="F6" s="129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6" t="s">
        <v>58</v>
      </c>
      <c r="B42" s="128" t="s">
        <v>48</v>
      </c>
      <c r="C42" s="128" t="s">
        <v>80</v>
      </c>
      <c r="D42" s="5" t="s">
        <v>50</v>
      </c>
      <c r="E42" s="130" t="s">
        <v>52</v>
      </c>
      <c r="F42" s="130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7"/>
      <c r="B43" s="129"/>
      <c r="C43" s="129"/>
      <c r="D43" s="6" t="s">
        <v>51</v>
      </c>
      <c r="E43" s="131"/>
      <c r="F43" s="131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2" t="s">
        <v>73</v>
      </c>
      <c r="B65" s="123"/>
      <c r="C65" s="123"/>
      <c r="D65" s="123"/>
      <c r="E65" s="123"/>
      <c r="F65" s="123"/>
      <c r="G65" s="123"/>
      <c r="H65" s="123"/>
      <c r="I65" s="123"/>
    </row>
    <row r="66" spans="1:9" x14ac:dyDescent="0.25">
      <c r="A66" s="122" t="s">
        <v>61</v>
      </c>
      <c r="B66" s="123"/>
      <c r="C66" s="123"/>
      <c r="D66" s="123"/>
      <c r="E66" s="123"/>
      <c r="F66" s="123"/>
      <c r="G66" s="123"/>
      <c r="H66" s="123"/>
      <c r="I66" s="123"/>
    </row>
    <row r="67" spans="1:9" x14ac:dyDescent="0.25">
      <c r="A67" s="124"/>
      <c r="B67" s="124"/>
      <c r="C67" s="124"/>
      <c r="D67" s="124"/>
      <c r="E67" s="124"/>
      <c r="F67" s="124"/>
      <c r="G67" s="124"/>
      <c r="H67" s="124"/>
      <c r="I67" s="124"/>
    </row>
    <row r="68" spans="1:9" x14ac:dyDescent="0.25">
      <c r="A68" s="125" t="s">
        <v>62</v>
      </c>
      <c r="B68" s="125"/>
      <c r="C68" s="125"/>
      <c r="D68" s="125"/>
      <c r="E68" s="125"/>
      <c r="F68" s="125"/>
      <c r="G68" s="125"/>
      <c r="H68" s="125"/>
      <c r="I68" s="125"/>
    </row>
    <row r="69" spans="1:9" x14ac:dyDescent="0.25">
      <c r="A69" s="120" t="s">
        <v>66</v>
      </c>
      <c r="B69" s="120"/>
      <c r="C69" s="120"/>
      <c r="D69" s="120"/>
      <c r="E69" s="120"/>
      <c r="F69" s="120"/>
      <c r="G69" s="120"/>
      <c r="H69" s="120"/>
      <c r="I69" s="120"/>
    </row>
    <row r="70" spans="1:9" x14ac:dyDescent="0.25">
      <c r="A70" s="120" t="s">
        <v>68</v>
      </c>
      <c r="B70" s="120"/>
      <c r="C70" s="120"/>
      <c r="D70" s="120"/>
      <c r="E70" s="120"/>
      <c r="F70" s="120"/>
      <c r="G70" s="120"/>
      <c r="H70" s="120"/>
      <c r="I70" s="120"/>
    </row>
    <row r="71" spans="1:9" x14ac:dyDescent="0.25">
      <c r="A71" s="120" t="s">
        <v>65</v>
      </c>
      <c r="B71" s="120"/>
      <c r="C71" s="120"/>
      <c r="D71" s="120"/>
      <c r="E71" s="120"/>
      <c r="F71" s="120"/>
      <c r="G71" s="120"/>
      <c r="H71" s="120"/>
      <c r="I71" s="120"/>
    </row>
    <row r="72" spans="1:9" x14ac:dyDescent="0.25">
      <c r="A72" s="121"/>
      <c r="B72" s="121"/>
      <c r="C72" s="121"/>
      <c r="D72" s="121"/>
      <c r="E72" s="121"/>
      <c r="F72" s="121"/>
      <c r="G72" s="121"/>
      <c r="H72" s="121"/>
      <c r="I72" s="121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1:I1"/>
    <mergeCell ref="A2:I2"/>
    <mergeCell ref="A3:I3"/>
    <mergeCell ref="A5:A6"/>
    <mergeCell ref="B5:B6"/>
    <mergeCell ref="C5:C6"/>
    <mergeCell ref="E5:E6"/>
    <mergeCell ref="F5:F6"/>
    <mergeCell ref="A42:A43"/>
    <mergeCell ref="B42:B43"/>
    <mergeCell ref="C42:C43"/>
    <mergeCell ref="E42:E43"/>
    <mergeCell ref="F42:F43"/>
    <mergeCell ref="A71:I71"/>
    <mergeCell ref="A72:I72"/>
    <mergeCell ref="A65:I65"/>
    <mergeCell ref="A66:I66"/>
    <mergeCell ref="A67:I67"/>
    <mergeCell ref="A68:I68"/>
    <mergeCell ref="A69:I69"/>
    <mergeCell ref="A70:I70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2020-03-04T20:20:07Z</dcterms:modified>
</cp:coreProperties>
</file>