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E3166347-DA2A-4B54-AF53-9A8EF6A0AB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6" l="1"/>
  <c r="B61" i="6"/>
  <c r="K59" i="6" l="1"/>
  <c r="K52" i="6"/>
  <c r="K51" i="6"/>
  <c r="K40" i="6"/>
  <c r="K37" i="6"/>
  <c r="K35" i="6"/>
  <c r="K34" i="6"/>
  <c r="K28" i="6"/>
  <c r="K12" i="6"/>
  <c r="B66" i="6" l="1"/>
  <c r="B52" i="6"/>
  <c r="B50" i="6"/>
  <c r="B48" i="6"/>
  <c r="H33" i="6"/>
  <c r="F25" i="6"/>
  <c r="I25" i="6" s="1"/>
  <c r="J25" i="6" s="1"/>
  <c r="K25" i="6" s="1"/>
  <c r="B20" i="6" l="1"/>
  <c r="B56" i="6" l="1"/>
  <c r="H52" i="6"/>
  <c r="B36" i="6"/>
  <c r="H31" i="6"/>
  <c r="B27" i="6"/>
  <c r="B59" i="6" l="1"/>
  <c r="H50" i="6"/>
  <c r="B49" i="6"/>
  <c r="B43" i="6"/>
  <c r="B40" i="6"/>
  <c r="B39" i="6"/>
  <c r="B38" i="6"/>
  <c r="B37" i="6"/>
  <c r="B23" i="6"/>
  <c r="B65" i="6" l="1"/>
  <c r="H59" i="6"/>
  <c r="H56" i="6"/>
  <c r="B55" i="6"/>
  <c r="H36" i="6"/>
  <c r="B34" i="6"/>
  <c r="B24" i="6"/>
  <c r="B22" i="6"/>
  <c r="B16" i="6" l="1"/>
  <c r="B7" i="6"/>
  <c r="F63" i="6" l="1"/>
  <c r="F59" i="6"/>
  <c r="F55" i="6"/>
  <c r="F50" i="6"/>
  <c r="F49" i="6"/>
  <c r="F47" i="6"/>
  <c r="F38" i="6"/>
  <c r="F33" i="6"/>
  <c r="F66" i="6"/>
  <c r="F48" i="6"/>
  <c r="F51" i="6"/>
  <c r="F53" i="6"/>
  <c r="F54" i="6"/>
  <c r="F56" i="6"/>
  <c r="F57" i="6"/>
  <c r="F58" i="6"/>
  <c r="F60" i="6"/>
  <c r="F61" i="6"/>
  <c r="F62" i="6"/>
  <c r="F64" i="6"/>
  <c r="F65" i="6"/>
  <c r="F46" i="6"/>
  <c r="F43" i="6"/>
  <c r="F32" i="6"/>
  <c r="F34" i="6"/>
  <c r="F35" i="6"/>
  <c r="F36" i="6"/>
  <c r="F37" i="6"/>
  <c r="F39" i="6"/>
  <c r="F40" i="6"/>
  <c r="F41" i="6"/>
  <c r="F42" i="6"/>
  <c r="F9" i="6"/>
  <c r="F10" i="6"/>
  <c r="F11" i="6"/>
  <c r="F12" i="6"/>
  <c r="F13" i="6"/>
  <c r="F16" i="6"/>
  <c r="F17" i="6"/>
  <c r="F18" i="6"/>
  <c r="F19" i="6"/>
  <c r="F20" i="6"/>
  <c r="F21" i="6"/>
  <c r="F22" i="6"/>
  <c r="F23" i="6"/>
  <c r="F24" i="6"/>
  <c r="F26" i="6"/>
  <c r="F27" i="6"/>
  <c r="F28" i="6"/>
  <c r="F29" i="6"/>
  <c r="F30" i="6"/>
  <c r="F31" i="6"/>
  <c r="F8" i="6"/>
  <c r="F7" i="6"/>
  <c r="H20" i="6"/>
  <c r="B15" i="6"/>
  <c r="F15" i="6" s="1"/>
  <c r="F52" i="6" l="1"/>
  <c r="H49" i="6"/>
  <c r="C14" i="6"/>
  <c r="B14" i="6"/>
  <c r="F14" i="6" s="1"/>
  <c r="H7" i="6"/>
  <c r="I64" i="6" l="1"/>
  <c r="J64" i="6" s="1"/>
  <c r="K64" i="6" s="1"/>
  <c r="I65" i="6" l="1"/>
  <c r="J65" i="6" s="1"/>
  <c r="K65" i="6" s="1"/>
  <c r="I10" i="6" l="1"/>
  <c r="J10" i="6" s="1"/>
  <c r="K10" i="6" s="1"/>
  <c r="I19" i="6" l="1"/>
  <c r="J19" i="6" s="1"/>
  <c r="K19" i="6" s="1"/>
  <c r="I26" i="7" l="1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I11" i="7" l="1"/>
  <c r="F78" i="7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H81" i="6"/>
  <c r="H80" i="6"/>
  <c r="G81" i="6"/>
  <c r="G80" i="6"/>
  <c r="H82" i="6" l="1"/>
  <c r="I78" i="7"/>
  <c r="G82" i="6"/>
  <c r="I34" i="6"/>
  <c r="J34" i="6" s="1"/>
  <c r="I11" i="6" l="1"/>
  <c r="J11" i="6" s="1"/>
  <c r="K11" i="6" s="1"/>
  <c r="I41" i="6" l="1"/>
  <c r="J41" i="6" s="1"/>
  <c r="K41" i="6" s="1"/>
  <c r="I58" i="6" l="1"/>
  <c r="J58" i="6" s="1"/>
  <c r="K58" i="6" s="1"/>
  <c r="I26" i="6"/>
  <c r="J26" i="6" s="1"/>
  <c r="K26" i="6" s="1"/>
  <c r="I16" i="6" l="1"/>
  <c r="J16" i="6" s="1"/>
  <c r="K16" i="6" s="1"/>
  <c r="I13" i="6" l="1"/>
  <c r="J13" i="6" s="1"/>
  <c r="K13" i="6" s="1"/>
  <c r="I66" i="6"/>
  <c r="J66" i="6" s="1"/>
  <c r="K66" i="6" s="1"/>
  <c r="I63" i="6"/>
  <c r="J63" i="6" s="1"/>
  <c r="K63" i="6" s="1"/>
  <c r="I60" i="6"/>
  <c r="J60" i="6" s="1"/>
  <c r="I57" i="6"/>
  <c r="J57" i="6" s="1"/>
  <c r="K57" i="6" s="1"/>
  <c r="I56" i="6"/>
  <c r="J56" i="6" s="1"/>
  <c r="K56" i="6" s="1"/>
  <c r="I55" i="6"/>
  <c r="J55" i="6" s="1"/>
  <c r="I54" i="6"/>
  <c r="J54" i="6" s="1"/>
  <c r="I53" i="6"/>
  <c r="J53" i="6" s="1"/>
  <c r="I50" i="6"/>
  <c r="J50" i="6" s="1"/>
  <c r="I49" i="6"/>
  <c r="J49" i="6" s="1"/>
  <c r="I48" i="6"/>
  <c r="J48" i="6" s="1"/>
  <c r="K48" i="6" s="1"/>
  <c r="I43" i="6"/>
  <c r="J43" i="6" s="1"/>
  <c r="K43" i="6" s="1"/>
  <c r="I39" i="6"/>
  <c r="J39" i="6" s="1"/>
  <c r="K39" i="6" s="1"/>
  <c r="I38" i="6"/>
  <c r="J38" i="6" s="1"/>
  <c r="K38" i="6" s="1"/>
  <c r="I36" i="6"/>
  <c r="J36" i="6" s="1"/>
  <c r="K36" i="6" s="1"/>
  <c r="I33" i="6"/>
  <c r="J33" i="6" s="1"/>
  <c r="K33" i="6" s="1"/>
  <c r="I32" i="6"/>
  <c r="J32" i="6" s="1"/>
  <c r="K32" i="6" s="1"/>
  <c r="I31" i="6"/>
  <c r="J31" i="6" s="1"/>
  <c r="K31" i="6" s="1"/>
  <c r="I30" i="6"/>
  <c r="J30" i="6" s="1"/>
  <c r="K30" i="6" s="1"/>
  <c r="I29" i="6"/>
  <c r="J29" i="6" s="1"/>
  <c r="K29" i="6" s="1"/>
  <c r="I27" i="6"/>
  <c r="J27" i="6" s="1"/>
  <c r="K27" i="6" s="1"/>
  <c r="I24" i="6"/>
  <c r="J24" i="6" s="1"/>
  <c r="K24" i="6" s="1"/>
  <c r="I23" i="6"/>
  <c r="J23" i="6" s="1"/>
  <c r="K23" i="6" s="1"/>
  <c r="I22" i="6"/>
  <c r="J22" i="6" s="1"/>
  <c r="K22" i="6" s="1"/>
  <c r="I20" i="6"/>
  <c r="J20" i="6" s="1"/>
  <c r="K20" i="6" s="1"/>
  <c r="I15" i="6"/>
  <c r="J15" i="6" s="1"/>
  <c r="K15" i="6" s="1"/>
  <c r="I8" i="6"/>
  <c r="J8" i="6" s="1"/>
  <c r="K8" i="6" s="1"/>
  <c r="I7" i="6"/>
  <c r="J7" i="6" s="1"/>
  <c r="K7" i="6" s="1"/>
  <c r="I47" i="6" l="1"/>
  <c r="J47" i="6" s="1"/>
  <c r="K47" i="6" s="1"/>
  <c r="F81" i="6"/>
  <c r="I9" i="6"/>
  <c r="F80" i="6"/>
  <c r="I62" i="6"/>
  <c r="J62" i="6" s="1"/>
  <c r="K62" i="6" s="1"/>
  <c r="I17" i="6"/>
  <c r="J17" i="6" s="1"/>
  <c r="K17" i="6" s="1"/>
  <c r="I59" i="6"/>
  <c r="J59" i="6" s="1"/>
  <c r="I51" i="6"/>
  <c r="J51" i="6" s="1"/>
  <c r="I52" i="6"/>
  <c r="J52" i="6" s="1"/>
  <c r="I61" i="6"/>
  <c r="J61" i="6" s="1"/>
  <c r="I12" i="6"/>
  <c r="J12" i="6" s="1"/>
  <c r="I35" i="6"/>
  <c r="J35" i="6" s="1"/>
  <c r="I28" i="6"/>
  <c r="J28" i="6" s="1"/>
  <c r="I40" i="6"/>
  <c r="J40" i="6" s="1"/>
  <c r="I37" i="6"/>
  <c r="J37" i="6" s="1"/>
  <c r="I46" i="6"/>
  <c r="J46" i="6" s="1"/>
  <c r="K46" i="6" s="1"/>
  <c r="I21" i="6"/>
  <c r="J21" i="6" s="1"/>
  <c r="K21" i="6" s="1"/>
  <c r="I18" i="6"/>
  <c r="J18" i="6" s="1"/>
  <c r="K18" i="6" s="1"/>
  <c r="I14" i="6"/>
  <c r="J14" i="6" s="1"/>
  <c r="K14" i="6" s="1"/>
  <c r="K55" i="6"/>
  <c r="K50" i="6"/>
  <c r="K49" i="6"/>
  <c r="K53" i="6"/>
  <c r="I42" i="6"/>
  <c r="J42" i="6" s="1"/>
  <c r="K42" i="6" s="1"/>
  <c r="K54" i="6"/>
  <c r="K60" i="6"/>
  <c r="F82" i="6" l="1"/>
  <c r="J9" i="6"/>
  <c r="I81" i="6"/>
  <c r="K9" i="6" l="1"/>
  <c r="I80" i="6" s="1"/>
  <c r="I82" i="6" s="1"/>
</calcChain>
</file>

<file path=xl/sharedStrings.xml><?xml version="1.0" encoding="utf-8"?>
<sst xmlns="http://schemas.openxmlformats.org/spreadsheetml/2006/main" count="198" uniqueCount="95">
  <si>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</si>
  <si>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</si>
  <si>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</si>
  <si>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</si>
  <si>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</si>
  <si>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</si>
  <si>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</si>
  <si>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</si>
  <si>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</si>
  <si>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</si>
  <si>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</si>
  <si>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</si>
  <si>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</si>
  <si>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</si>
  <si>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</si>
  <si>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</si>
  <si>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</si>
  <si>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</si>
  <si>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</si>
  <si>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</si>
  <si>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</si>
  <si>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</si>
  <si>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</si>
  <si>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</si>
  <si>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</si>
  <si>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</si>
  <si>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</si>
  <si>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</si>
  <si>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</si>
  <si>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</si>
  <si>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</si>
  <si>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</si>
  <si>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</si>
  <si>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</si>
  <si>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</si>
  <si>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</si>
  <si>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</si>
  <si>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</si>
  <si>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</si>
  <si>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</si>
  <si>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</si>
  <si>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</si>
  <si>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</si>
  <si>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</si>
  <si>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</si>
  <si>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</si>
  <si>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</si>
  <si>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</si>
  <si>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</si>
  <si>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</si>
  <si>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</si>
  <si>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</si>
  <si>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</si>
  <si>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</si>
  <si>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</si>
  <si>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</si>
  <si>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</si>
  <si>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</si>
  <si>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</si>
  <si>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</si>
  <si>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</si>
  <si>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</si>
  <si>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</si>
  <si>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</si>
  <si>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</si>
  <si>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</si>
  <si>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</si>
  <si>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</si>
  <si>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</si>
  <si>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</si>
  <si>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</si>
  <si>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</si>
  <si>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</si>
  <si>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</si>
  <si>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</si>
  <si>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</si>
  <si>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</si>
  <si>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</si>
  <si>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</si>
  <si>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</si>
  <si>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</si>
  <si>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</si>
  <si>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</si>
  <si>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</si>
  <si>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</si>
  <si>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</si>
  <si>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</si>
  <si>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</si>
  <si>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</si>
  <si>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</si>
  <si>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</si>
  <si>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</si>
  <si>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</si>
  <si>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13º salário                            Ano: 2020</t>
  </si>
  <si>
    <t>1ª parc. 13º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</si>
</sst>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5" sqref="A65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4.140625" customWidth="1"/>
    <col min="7" max="7" width="11.5703125" customWidth="1"/>
    <col min="8" max="8" width="10.7109375" customWidth="1"/>
    <col min="9" max="10" width="10.42578125" customWidth="1"/>
    <col min="11" max="11" width="16.42578125" customWidth="1"/>
    <col min="12" max="12" width="1.42578125" customWidth="1"/>
    <col min="13" max="13" width="14.28515625" bestFit="1" customWidth="1"/>
  </cols>
  <sheetData>
    <row r="1" spans="1:14" ht="16.5" x14ac:dyDescent="0.25">
      <c r="A1" s="109" t="s">
        <v>58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 ht="16.5" x14ac:dyDescent="0.25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4" ht="4.5" customHeight="1" thickBot="1" x14ac:dyDescent="0.3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4" ht="19.5" thickBot="1" x14ac:dyDescent="0.35">
      <c r="A4" s="35" t="s">
        <v>93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4" x14ac:dyDescent="0.25">
      <c r="A5" s="86" t="s">
        <v>57</v>
      </c>
      <c r="B5" s="88" t="s">
        <v>48</v>
      </c>
      <c r="C5" s="95" t="s">
        <v>83</v>
      </c>
      <c r="D5" s="92" t="s">
        <v>76</v>
      </c>
      <c r="E5" s="64" t="s">
        <v>84</v>
      </c>
      <c r="F5" s="55" t="s">
        <v>49</v>
      </c>
      <c r="G5" s="92" t="s">
        <v>51</v>
      </c>
      <c r="H5" s="92" t="s">
        <v>52</v>
      </c>
      <c r="I5" s="36" t="s">
        <v>53</v>
      </c>
      <c r="J5" s="36" t="s">
        <v>55</v>
      </c>
      <c r="K5" s="57" t="s">
        <v>49</v>
      </c>
    </row>
    <row r="6" spans="1:14" ht="15.75" thickBot="1" x14ac:dyDescent="0.3">
      <c r="A6" s="87"/>
      <c r="B6" s="89"/>
      <c r="C6" s="96"/>
      <c r="D6" s="93"/>
      <c r="E6" s="73" t="s">
        <v>94</v>
      </c>
      <c r="F6" s="56" t="s">
        <v>50</v>
      </c>
      <c r="G6" s="93"/>
      <c r="H6" s="93"/>
      <c r="I6" s="37" t="s">
        <v>54</v>
      </c>
      <c r="J6" s="37" t="s">
        <v>54</v>
      </c>
      <c r="K6" s="58" t="s">
        <v>56</v>
      </c>
    </row>
    <row r="7" spans="1:14" x14ac:dyDescent="0.25">
      <c r="A7" s="48" t="s">
        <v>0</v>
      </c>
      <c r="B7" s="43">
        <f>10382.27+5087.31</f>
        <v>15469.580000000002</v>
      </c>
      <c r="C7" s="65">
        <v>4152.91</v>
      </c>
      <c r="D7" s="70"/>
      <c r="E7" s="70">
        <v>-9496.89</v>
      </c>
      <c r="F7" s="40">
        <f>SUM(B7:E7)</f>
        <v>10125.600000000002</v>
      </c>
      <c r="G7" s="10">
        <v>4278.59</v>
      </c>
      <c r="H7" s="10">
        <f>285.23+427.85</f>
        <v>713.08</v>
      </c>
      <c r="I7" s="4">
        <f t="shared" ref="I7:I13" si="0">F7-G7-H7-M7</f>
        <v>0</v>
      </c>
      <c r="J7" s="3">
        <f>SUM(G7:I7)</f>
        <v>4991.67</v>
      </c>
      <c r="K7" s="51">
        <f>SUM(F7-J7)</f>
        <v>5133.9300000000021</v>
      </c>
      <c r="L7" s="59"/>
      <c r="M7" s="60">
        <v>5133.93</v>
      </c>
    </row>
    <row r="8" spans="1:14" x14ac:dyDescent="0.25">
      <c r="A8" s="49" t="s">
        <v>1</v>
      </c>
      <c r="B8" s="44">
        <v>5359.33</v>
      </c>
      <c r="C8" s="66"/>
      <c r="D8" s="71"/>
      <c r="E8" s="71">
        <v>-2654.39</v>
      </c>
      <c r="F8" s="41">
        <f>SUM(B8:E8)</f>
        <v>2704.94</v>
      </c>
      <c r="G8" s="11">
        <v>436.91</v>
      </c>
      <c r="H8" s="11">
        <v>609.24</v>
      </c>
      <c r="I8" s="4">
        <f t="shared" si="0"/>
        <v>0</v>
      </c>
      <c r="J8" s="4">
        <f t="shared" ref="J8:J66" si="1">SUM(G8:I8)</f>
        <v>1046.1500000000001</v>
      </c>
      <c r="K8" s="52">
        <f t="shared" ref="K8:K66" si="2">SUM(F8-J8)</f>
        <v>1658.79</v>
      </c>
      <c r="L8" s="59"/>
      <c r="M8" s="60">
        <v>1658.79</v>
      </c>
    </row>
    <row r="9" spans="1:14" x14ac:dyDescent="0.25">
      <c r="A9" s="49" t="s">
        <v>2</v>
      </c>
      <c r="B9" s="44">
        <v>2458.8200000000002</v>
      </c>
      <c r="C9" s="66"/>
      <c r="D9" s="71"/>
      <c r="E9" s="71">
        <v>-1190.02</v>
      </c>
      <c r="F9" s="41">
        <f>SUM(B9:E9)</f>
        <v>1268.8000000000002</v>
      </c>
      <c r="G9" s="11"/>
      <c r="H9" s="11">
        <v>216.68</v>
      </c>
      <c r="I9" s="4">
        <f t="shared" si="0"/>
        <v>0</v>
      </c>
      <c r="J9" s="4">
        <f t="shared" si="1"/>
        <v>216.68</v>
      </c>
      <c r="K9" s="52">
        <f t="shared" si="2"/>
        <v>1052.1200000000001</v>
      </c>
      <c r="L9" s="59"/>
      <c r="M9" s="60">
        <v>1052.1199999999999</v>
      </c>
    </row>
    <row r="10" spans="1:14" x14ac:dyDescent="0.25">
      <c r="A10" s="49" t="s">
        <v>79</v>
      </c>
      <c r="B10" s="44">
        <v>4271.97</v>
      </c>
      <c r="C10" s="66"/>
      <c r="D10" s="71"/>
      <c r="E10" s="71">
        <v>-2135.9899999999998</v>
      </c>
      <c r="F10" s="41">
        <f>SUM(B10:E10)</f>
        <v>2135.9800000000005</v>
      </c>
      <c r="G10" s="11">
        <v>222.24</v>
      </c>
      <c r="H10" s="11">
        <v>457</v>
      </c>
      <c r="I10" s="4">
        <f t="shared" ref="I10" si="3">F10-G10-H10-M10</f>
        <v>0</v>
      </c>
      <c r="J10" s="4">
        <f t="shared" ref="J10" si="4">SUM(G10:I10)</f>
        <v>679.24</v>
      </c>
      <c r="K10" s="52">
        <f t="shared" ref="K10" si="5">SUM(F10-J10)</f>
        <v>1456.7400000000005</v>
      </c>
      <c r="L10" s="59"/>
      <c r="M10" s="60">
        <v>1456.74</v>
      </c>
    </row>
    <row r="11" spans="1:14" x14ac:dyDescent="0.25">
      <c r="A11" s="49" t="s">
        <v>68</v>
      </c>
      <c r="B11" s="44">
        <v>1882.88</v>
      </c>
      <c r="C11" s="66">
        <v>1000</v>
      </c>
      <c r="D11" s="71">
        <v>10</v>
      </c>
      <c r="E11" s="71">
        <v>-1441.44</v>
      </c>
      <c r="F11" s="41">
        <f>SUM(B11:E11)</f>
        <v>1451.44</v>
      </c>
      <c r="G11" s="11">
        <v>54.01</v>
      </c>
      <c r="H11" s="11">
        <v>268.77</v>
      </c>
      <c r="I11" s="4">
        <f t="shared" si="0"/>
        <v>0</v>
      </c>
      <c r="J11" s="4">
        <f t="shared" si="1"/>
        <v>322.77999999999997</v>
      </c>
      <c r="K11" s="52">
        <f t="shared" si="2"/>
        <v>1128.6600000000001</v>
      </c>
      <c r="L11" s="59"/>
      <c r="M11" s="60">
        <v>1128.6600000000001</v>
      </c>
    </row>
    <row r="12" spans="1:14" x14ac:dyDescent="0.25">
      <c r="A12" s="49" t="s">
        <v>3</v>
      </c>
      <c r="B12" s="44">
        <v>2664.07</v>
      </c>
      <c r="C12" s="66"/>
      <c r="D12" s="71"/>
      <c r="E12" s="71">
        <v>-1332.03</v>
      </c>
      <c r="F12" s="41">
        <f>SUM(B12:E12)</f>
        <v>1332.0400000000002</v>
      </c>
      <c r="G12" s="11">
        <v>24.69</v>
      </c>
      <c r="H12" s="11">
        <v>241.31</v>
      </c>
      <c r="I12" s="4">
        <f t="shared" si="0"/>
        <v>0</v>
      </c>
      <c r="J12" s="4">
        <f t="shared" si="1"/>
        <v>266</v>
      </c>
      <c r="K12" s="52">
        <f>SUM(F12-J12)</f>
        <v>1066.0400000000002</v>
      </c>
      <c r="L12" s="59"/>
      <c r="M12" s="60">
        <v>1066.04</v>
      </c>
      <c r="N12" s="1"/>
    </row>
    <row r="13" spans="1:14" x14ac:dyDescent="0.25">
      <c r="A13" s="49" t="s">
        <v>4</v>
      </c>
      <c r="B13" s="44">
        <v>3617.77</v>
      </c>
      <c r="C13" s="66"/>
      <c r="D13" s="71"/>
      <c r="E13" s="71">
        <v>-1794.3</v>
      </c>
      <c r="F13" s="41">
        <f>SUM(B13:E13)</f>
        <v>1823.47</v>
      </c>
      <c r="G13" s="11">
        <v>104.61</v>
      </c>
      <c r="H13" s="11">
        <v>365.42</v>
      </c>
      <c r="I13" s="4">
        <f t="shared" si="0"/>
        <v>0</v>
      </c>
      <c r="J13" s="4">
        <f t="shared" si="1"/>
        <v>470.03000000000003</v>
      </c>
      <c r="K13" s="52">
        <f t="shared" si="2"/>
        <v>1353.44</v>
      </c>
      <c r="L13" s="59"/>
      <c r="M13" s="60">
        <v>1353.44</v>
      </c>
    </row>
    <row r="14" spans="1:14" x14ac:dyDescent="0.25">
      <c r="A14" s="49" t="s">
        <v>5</v>
      </c>
      <c r="B14" s="44">
        <f>11980.55+5930.37</f>
        <v>17910.919999999998</v>
      </c>
      <c r="C14" s="66">
        <f>4792.22+1198.06</f>
        <v>5990.2800000000007</v>
      </c>
      <c r="D14" s="71">
        <v>10</v>
      </c>
      <c r="E14" s="71">
        <v>-11950.61</v>
      </c>
      <c r="F14" s="41">
        <f>SUM(B14:E14)</f>
        <v>11960.589999999997</v>
      </c>
      <c r="G14" s="11">
        <v>5510.12</v>
      </c>
      <c r="H14" s="11">
        <v>713.08</v>
      </c>
      <c r="I14" s="4">
        <f>F14-G14-H14-M14</f>
        <v>0</v>
      </c>
      <c r="J14" s="4">
        <f t="shared" si="1"/>
        <v>6223.2</v>
      </c>
      <c r="K14" s="52">
        <f t="shared" si="2"/>
        <v>5737.3899999999967</v>
      </c>
      <c r="L14" s="59"/>
      <c r="M14" s="60">
        <v>5737.39</v>
      </c>
    </row>
    <row r="15" spans="1:14" x14ac:dyDescent="0.25">
      <c r="A15" s="49" t="s">
        <v>6</v>
      </c>
      <c r="B15" s="44">
        <f>10370.38+3608.89</f>
        <v>13979.269999999999</v>
      </c>
      <c r="C15" s="66">
        <v>2074.08</v>
      </c>
      <c r="D15" s="71"/>
      <c r="E15" s="71">
        <v>-8026.68</v>
      </c>
      <c r="F15" s="41">
        <f>SUM(B15:E15)</f>
        <v>8026.6699999999983</v>
      </c>
      <c r="G15" s="11">
        <v>3297.08</v>
      </c>
      <c r="H15" s="11">
        <v>713.08</v>
      </c>
      <c r="I15" s="4">
        <f t="shared" ref="I15:I43" si="6">F15-G15-H15-M15</f>
        <v>0</v>
      </c>
      <c r="J15" s="4">
        <f t="shared" si="1"/>
        <v>4010.16</v>
      </c>
      <c r="K15" s="52">
        <f t="shared" si="2"/>
        <v>4016.5099999999984</v>
      </c>
      <c r="L15" s="59"/>
      <c r="M15" s="60">
        <v>4016.51</v>
      </c>
    </row>
    <row r="16" spans="1:14" x14ac:dyDescent="0.25">
      <c r="A16" s="49" t="s">
        <v>7</v>
      </c>
      <c r="B16" s="44">
        <f>11980.55+3522.28</f>
        <v>15502.83</v>
      </c>
      <c r="C16" s="66">
        <v>4792.22</v>
      </c>
      <c r="D16" s="71"/>
      <c r="E16" s="71">
        <v>-10147.530000000001</v>
      </c>
      <c r="F16" s="41">
        <f>SUM(B16:E16)</f>
        <v>10147.519999999999</v>
      </c>
      <c r="G16" s="11">
        <v>4515.68</v>
      </c>
      <c r="H16" s="11">
        <v>713.08</v>
      </c>
      <c r="I16" s="4">
        <f t="shared" si="6"/>
        <v>0</v>
      </c>
      <c r="J16" s="4">
        <f t="shared" si="1"/>
        <v>5228.76</v>
      </c>
      <c r="K16" s="52">
        <f t="shared" si="2"/>
        <v>4918.7599999999984</v>
      </c>
      <c r="L16" s="59"/>
      <c r="M16" s="60">
        <v>4918.76</v>
      </c>
    </row>
    <row r="17" spans="1:13" x14ac:dyDescent="0.25">
      <c r="A17" s="49" t="s">
        <v>8</v>
      </c>
      <c r="B17" s="44">
        <v>2433.34</v>
      </c>
      <c r="C17" s="66"/>
      <c r="D17" s="71"/>
      <c r="E17" s="71">
        <v>-1216.68</v>
      </c>
      <c r="F17" s="41">
        <f>SUM(B17:E17)</f>
        <v>1216.6600000000001</v>
      </c>
      <c r="G17" s="11">
        <v>23.68</v>
      </c>
      <c r="H17" s="11">
        <v>213.63</v>
      </c>
      <c r="I17" s="4">
        <f t="shared" si="6"/>
        <v>-9.9999999999909051E-3</v>
      </c>
      <c r="J17" s="4">
        <f t="shared" si="1"/>
        <v>237.3</v>
      </c>
      <c r="K17" s="52">
        <f t="shared" si="2"/>
        <v>979.36000000000013</v>
      </c>
      <c r="L17" s="59"/>
      <c r="M17" s="60">
        <v>979.36</v>
      </c>
    </row>
    <row r="18" spans="1:13" x14ac:dyDescent="0.25">
      <c r="A18" s="49" t="s">
        <v>9</v>
      </c>
      <c r="B18" s="44">
        <v>2244.59</v>
      </c>
      <c r="C18" s="66"/>
      <c r="D18" s="71"/>
      <c r="E18" s="71">
        <v>-1113.3900000000001</v>
      </c>
      <c r="F18" s="41">
        <f>SUM(B18:E18)</f>
        <v>1131.2</v>
      </c>
      <c r="G18" s="11">
        <v>11.22</v>
      </c>
      <c r="H18" s="11">
        <v>190.97</v>
      </c>
      <c r="I18" s="4">
        <f t="shared" si="6"/>
        <v>0</v>
      </c>
      <c r="J18" s="4">
        <f t="shared" si="1"/>
        <v>202.19</v>
      </c>
      <c r="K18" s="52">
        <f t="shared" si="2"/>
        <v>929.01</v>
      </c>
      <c r="L18" s="59"/>
      <c r="M18" s="60">
        <v>929.01</v>
      </c>
    </row>
    <row r="19" spans="1:13" x14ac:dyDescent="0.25">
      <c r="A19" s="49" t="s">
        <v>78</v>
      </c>
      <c r="B19" s="44">
        <v>2696.27</v>
      </c>
      <c r="C19" s="66"/>
      <c r="D19" s="71">
        <v>8.33</v>
      </c>
      <c r="E19" s="71">
        <v>-1348.14</v>
      </c>
      <c r="F19" s="41">
        <f>SUM(B19:E19)</f>
        <v>1356.4599999999998</v>
      </c>
      <c r="G19" s="11">
        <v>27.36</v>
      </c>
      <c r="H19" s="11">
        <v>246.18</v>
      </c>
      <c r="I19" s="4">
        <f t="shared" si="6"/>
        <v>0</v>
      </c>
      <c r="J19" s="4">
        <f t="shared" si="1"/>
        <v>273.54000000000002</v>
      </c>
      <c r="K19" s="52">
        <f t="shared" si="2"/>
        <v>1082.9199999999998</v>
      </c>
      <c r="L19" s="59"/>
      <c r="M19" s="60">
        <v>1082.92</v>
      </c>
    </row>
    <row r="20" spans="1:13" x14ac:dyDescent="0.25">
      <c r="A20" s="49" t="s">
        <v>10</v>
      </c>
      <c r="B20" s="44">
        <f>5026.06+844.38</f>
        <v>5870.4400000000005</v>
      </c>
      <c r="C20" s="66">
        <v>1005.21</v>
      </c>
      <c r="D20" s="71"/>
      <c r="E20" s="71">
        <v>-3407.67</v>
      </c>
      <c r="F20" s="41">
        <f>SUM(B20:E20)</f>
        <v>3467.9800000000005</v>
      </c>
      <c r="G20" s="11">
        <v>668.93</v>
      </c>
      <c r="H20" s="11">
        <f>303.77+409.31</f>
        <v>713.07999999999993</v>
      </c>
      <c r="I20" s="4">
        <f t="shared" si="6"/>
        <v>0</v>
      </c>
      <c r="J20" s="4">
        <f t="shared" si="1"/>
        <v>1382.0099999999998</v>
      </c>
      <c r="K20" s="52">
        <f t="shared" si="2"/>
        <v>2085.9700000000007</v>
      </c>
      <c r="L20" s="59"/>
      <c r="M20" s="60">
        <v>2085.9699999999998</v>
      </c>
    </row>
    <row r="21" spans="1:13" x14ac:dyDescent="0.25">
      <c r="A21" s="49" t="s">
        <v>11</v>
      </c>
      <c r="B21" s="44">
        <v>2456.08</v>
      </c>
      <c r="C21" s="66"/>
      <c r="D21" s="71"/>
      <c r="E21" s="71">
        <v>-1228.05</v>
      </c>
      <c r="F21" s="41">
        <f>SUM(B21:E21)</f>
        <v>1228.03</v>
      </c>
      <c r="G21" s="11">
        <v>25.18</v>
      </c>
      <c r="H21" s="11">
        <v>216.35</v>
      </c>
      <c r="I21" s="4">
        <f t="shared" si="6"/>
        <v>0</v>
      </c>
      <c r="J21" s="4">
        <f t="shared" si="1"/>
        <v>241.53</v>
      </c>
      <c r="K21" s="52">
        <f t="shared" si="2"/>
        <v>986.5</v>
      </c>
      <c r="L21" s="59"/>
      <c r="M21" s="60">
        <v>986.5</v>
      </c>
    </row>
    <row r="22" spans="1:13" x14ac:dyDescent="0.25">
      <c r="A22" s="49" t="s">
        <v>12</v>
      </c>
      <c r="B22" s="44">
        <f>13212.02+7451.58</f>
        <v>20663.599999999999</v>
      </c>
      <c r="C22" s="66">
        <v>17836.23</v>
      </c>
      <c r="D22" s="71"/>
      <c r="E22" s="71">
        <v>-18482.900000000001</v>
      </c>
      <c r="F22" s="41">
        <f>SUM(B22:E22)</f>
        <v>20016.93</v>
      </c>
      <c r="G22" s="11">
        <v>9522</v>
      </c>
      <c r="H22" s="11">
        <v>713.08</v>
      </c>
      <c r="I22" s="4">
        <f t="shared" si="6"/>
        <v>0</v>
      </c>
      <c r="J22" s="4">
        <f t="shared" si="1"/>
        <v>10235.08</v>
      </c>
      <c r="K22" s="52">
        <f t="shared" si="2"/>
        <v>9781.85</v>
      </c>
      <c r="L22" s="59"/>
      <c r="M22" s="60">
        <v>9781.85</v>
      </c>
    </row>
    <row r="23" spans="1:13" x14ac:dyDescent="0.25">
      <c r="A23" s="49" t="s">
        <v>13</v>
      </c>
      <c r="B23" s="44">
        <f>11980.55+3737.93</f>
        <v>15718.48</v>
      </c>
      <c r="C23" s="66">
        <v>2396.11</v>
      </c>
      <c r="D23" s="71"/>
      <c r="E23" s="71">
        <v>-9057.31</v>
      </c>
      <c r="F23" s="41">
        <f>SUM(B23:E23)</f>
        <v>9057.2800000000007</v>
      </c>
      <c r="G23" s="11">
        <v>3863.92</v>
      </c>
      <c r="H23" s="11">
        <v>713.08</v>
      </c>
      <c r="I23" s="4">
        <f t="shared" si="6"/>
        <v>0</v>
      </c>
      <c r="J23" s="4">
        <f t="shared" si="1"/>
        <v>4577</v>
      </c>
      <c r="K23" s="52">
        <f t="shared" si="2"/>
        <v>4480.2800000000007</v>
      </c>
      <c r="L23" s="59"/>
      <c r="M23" s="60">
        <v>4480.28</v>
      </c>
    </row>
    <row r="24" spans="1:13" x14ac:dyDescent="0.25">
      <c r="A24" s="49" t="s">
        <v>14</v>
      </c>
      <c r="B24" s="44">
        <f>5216.65+1147.66</f>
        <v>6364.3099999999995</v>
      </c>
      <c r="C24" s="66"/>
      <c r="D24" s="71"/>
      <c r="E24" s="71">
        <v>-3054.96</v>
      </c>
      <c r="F24" s="41">
        <f>SUM(B24:E24)</f>
        <v>3309.3499999999995</v>
      </c>
      <c r="G24" s="11">
        <v>580.45000000000005</v>
      </c>
      <c r="H24" s="11">
        <v>713.08</v>
      </c>
      <c r="I24" s="4">
        <f t="shared" si="6"/>
        <v>0</v>
      </c>
      <c r="J24" s="4">
        <f t="shared" si="1"/>
        <v>1293.5300000000002</v>
      </c>
      <c r="K24" s="52">
        <f t="shared" si="2"/>
        <v>2015.8199999999993</v>
      </c>
      <c r="L24" s="59"/>
      <c r="M24" s="60">
        <v>2015.82</v>
      </c>
    </row>
    <row r="25" spans="1:13" x14ac:dyDescent="0.25">
      <c r="A25" s="49" t="s">
        <v>92</v>
      </c>
      <c r="B25" s="44">
        <v>438.86</v>
      </c>
      <c r="C25" s="66"/>
      <c r="D25" s="71"/>
      <c r="E25" s="71">
        <v>-219.43</v>
      </c>
      <c r="F25" s="41">
        <f>SUM(B25:E25)</f>
        <v>219.43</v>
      </c>
      <c r="G25" s="11"/>
      <c r="H25" s="11">
        <v>32.909999999999997</v>
      </c>
      <c r="I25" s="4">
        <f t="shared" ref="I25" si="7">F25-G25-H25-M25</f>
        <v>0</v>
      </c>
      <c r="J25" s="4">
        <f t="shared" ref="J25" si="8">SUM(G25:I25)</f>
        <v>32.909999999999997</v>
      </c>
      <c r="K25" s="52">
        <f t="shared" ref="K25" si="9">SUM(F25-J25)</f>
        <v>186.52</v>
      </c>
      <c r="L25" s="59"/>
      <c r="M25" s="60">
        <v>186.52</v>
      </c>
    </row>
    <row r="26" spans="1:13" x14ac:dyDescent="0.25">
      <c r="A26" s="49" t="s">
        <v>65</v>
      </c>
      <c r="B26" s="44">
        <v>2860.75</v>
      </c>
      <c r="C26" s="66"/>
      <c r="D26" s="71"/>
      <c r="E26" s="71">
        <v>-1416.49</v>
      </c>
      <c r="F26" s="41">
        <f>SUM(B26:E26)</f>
        <v>1444.26</v>
      </c>
      <c r="G26" s="11">
        <v>51.89</v>
      </c>
      <c r="H26" s="11">
        <v>264.91000000000003</v>
      </c>
      <c r="I26" s="4">
        <f t="shared" si="6"/>
        <v>0</v>
      </c>
      <c r="J26" s="4">
        <f t="shared" si="1"/>
        <v>316.8</v>
      </c>
      <c r="K26" s="52">
        <f t="shared" si="2"/>
        <v>1127.46</v>
      </c>
      <c r="L26" s="59"/>
      <c r="M26" s="60">
        <v>1127.46</v>
      </c>
    </row>
    <row r="27" spans="1:13" x14ac:dyDescent="0.25">
      <c r="A27" s="49" t="s">
        <v>15</v>
      </c>
      <c r="B27" s="44">
        <f>11980.55+3737.93</f>
        <v>15718.48</v>
      </c>
      <c r="C27" s="66">
        <v>2396.11</v>
      </c>
      <c r="D27" s="71"/>
      <c r="E27" s="71">
        <v>-9057.31</v>
      </c>
      <c r="F27" s="41">
        <f>SUM(B27:E27)</f>
        <v>9057.2800000000007</v>
      </c>
      <c r="G27" s="11">
        <v>3863.92</v>
      </c>
      <c r="H27" s="11">
        <v>713.08</v>
      </c>
      <c r="I27" s="4">
        <f t="shared" si="6"/>
        <v>1344.0800000000008</v>
      </c>
      <c r="J27" s="4">
        <f t="shared" si="1"/>
        <v>5921.0800000000008</v>
      </c>
      <c r="K27" s="52">
        <f t="shared" si="2"/>
        <v>3136.2</v>
      </c>
      <c r="L27" s="59"/>
      <c r="M27" s="60">
        <v>3136.2</v>
      </c>
    </row>
    <row r="28" spans="1:13" x14ac:dyDescent="0.25">
      <c r="A28" s="49" t="s">
        <v>16</v>
      </c>
      <c r="B28" s="44">
        <v>6781.65</v>
      </c>
      <c r="C28" s="66"/>
      <c r="D28" s="71"/>
      <c r="E28" s="71">
        <v>-3364.73</v>
      </c>
      <c r="F28" s="41">
        <f>SUM(B28:E28)</f>
        <v>3416.9199999999996</v>
      </c>
      <c r="G28" s="11">
        <v>695.22</v>
      </c>
      <c r="H28" s="11">
        <v>713.08</v>
      </c>
      <c r="I28" s="4">
        <f t="shared" si="6"/>
        <v>0</v>
      </c>
      <c r="J28" s="4">
        <f t="shared" si="1"/>
        <v>1408.3000000000002</v>
      </c>
      <c r="K28" s="52">
        <f>SUM(F28-J28)</f>
        <v>2008.6199999999994</v>
      </c>
      <c r="L28" s="59"/>
      <c r="M28" s="60">
        <v>2008.62</v>
      </c>
    </row>
    <row r="29" spans="1:13" x14ac:dyDescent="0.25">
      <c r="A29" s="49" t="s">
        <v>17</v>
      </c>
      <c r="B29" s="44">
        <v>7426.39</v>
      </c>
      <c r="C29" s="66"/>
      <c r="D29" s="71"/>
      <c r="E29" s="71">
        <v>-3713.2</v>
      </c>
      <c r="F29" s="41">
        <f>SUM(B29:E29)</f>
        <v>3713.1900000000005</v>
      </c>
      <c r="G29" s="11">
        <v>976.8</v>
      </c>
      <c r="H29" s="11">
        <v>713.08</v>
      </c>
      <c r="I29" s="4">
        <f t="shared" si="6"/>
        <v>0</v>
      </c>
      <c r="J29" s="4">
        <f t="shared" si="1"/>
        <v>1689.88</v>
      </c>
      <c r="K29" s="52">
        <f t="shared" si="2"/>
        <v>2023.3100000000004</v>
      </c>
      <c r="L29" s="59"/>
      <c r="M29" s="60">
        <v>2023.31</v>
      </c>
    </row>
    <row r="30" spans="1:13" x14ac:dyDescent="0.25">
      <c r="A30" s="49" t="s">
        <v>18</v>
      </c>
      <c r="B30" s="44">
        <v>2362.52</v>
      </c>
      <c r="C30" s="66"/>
      <c r="D30" s="71"/>
      <c r="E30" s="71">
        <v>-1181.26</v>
      </c>
      <c r="F30" s="41">
        <f>SUM(B30:E30)</f>
        <v>1181.26</v>
      </c>
      <c r="G30" s="11">
        <v>19</v>
      </c>
      <c r="H30" s="11">
        <v>205.13</v>
      </c>
      <c r="I30" s="4">
        <f t="shared" si="6"/>
        <v>0</v>
      </c>
      <c r="J30" s="4">
        <f t="shared" si="1"/>
        <v>224.13</v>
      </c>
      <c r="K30" s="52">
        <f t="shared" si="2"/>
        <v>957.13</v>
      </c>
      <c r="L30" s="59"/>
      <c r="M30" s="60">
        <v>957.13</v>
      </c>
    </row>
    <row r="31" spans="1:13" x14ac:dyDescent="0.25">
      <c r="A31" s="49" t="s">
        <v>19</v>
      </c>
      <c r="B31" s="44">
        <v>5353.51</v>
      </c>
      <c r="C31" s="66">
        <v>1000</v>
      </c>
      <c r="D31" s="71"/>
      <c r="E31" s="71">
        <v>-3094.2</v>
      </c>
      <c r="F31" s="41">
        <f>SUM(B31:E31)</f>
        <v>3259.3100000000004</v>
      </c>
      <c r="G31" s="11">
        <v>577.48</v>
      </c>
      <c r="H31" s="11">
        <f>601.69+111.39</f>
        <v>713.08</v>
      </c>
      <c r="I31" s="4">
        <f t="shared" si="6"/>
        <v>0</v>
      </c>
      <c r="J31" s="4">
        <f t="shared" si="1"/>
        <v>1290.56</v>
      </c>
      <c r="K31" s="52">
        <f t="shared" si="2"/>
        <v>1968.7500000000005</v>
      </c>
      <c r="L31" s="59"/>
      <c r="M31" s="60">
        <v>1968.75</v>
      </c>
    </row>
    <row r="32" spans="1:13" x14ac:dyDescent="0.25">
      <c r="A32" s="49" t="s">
        <v>20</v>
      </c>
      <c r="B32" s="44">
        <v>6219.96</v>
      </c>
      <c r="C32" s="66"/>
      <c r="D32" s="71"/>
      <c r="E32" s="71">
        <v>-3086.24</v>
      </c>
      <c r="F32" s="41">
        <f>SUM(B32:E32)</f>
        <v>3133.7200000000003</v>
      </c>
      <c r="G32" s="11">
        <v>645.03</v>
      </c>
      <c r="H32" s="11">
        <v>713.08</v>
      </c>
      <c r="I32" s="4">
        <f t="shared" si="6"/>
        <v>0</v>
      </c>
      <c r="J32" s="4">
        <f t="shared" si="1"/>
        <v>1358.1100000000001</v>
      </c>
      <c r="K32" s="52">
        <f t="shared" si="2"/>
        <v>1775.6100000000001</v>
      </c>
      <c r="L32" s="59"/>
      <c r="M32" s="60">
        <v>1775.61</v>
      </c>
    </row>
    <row r="33" spans="1:13" x14ac:dyDescent="0.25">
      <c r="A33" s="49" t="s">
        <v>21</v>
      </c>
      <c r="B33" s="44">
        <v>7308.24</v>
      </c>
      <c r="C33" s="66"/>
      <c r="D33" s="71"/>
      <c r="E33" s="71">
        <v>-3654.12</v>
      </c>
      <c r="F33" s="41">
        <f>SUM(B33:E33)</f>
        <v>3654.12</v>
      </c>
      <c r="G33" s="11">
        <v>944.31</v>
      </c>
      <c r="H33" s="11">
        <f>479.64+233.44</f>
        <v>713.07999999999993</v>
      </c>
      <c r="I33" s="4">
        <f t="shared" si="6"/>
        <v>0</v>
      </c>
      <c r="J33" s="4">
        <f t="shared" si="1"/>
        <v>1657.3899999999999</v>
      </c>
      <c r="K33" s="52">
        <f t="shared" si="2"/>
        <v>1996.73</v>
      </c>
      <c r="L33" s="59"/>
      <c r="M33" s="60">
        <v>1996.73</v>
      </c>
    </row>
    <row r="34" spans="1:13" x14ac:dyDescent="0.25">
      <c r="A34" s="49" t="s">
        <v>70</v>
      </c>
      <c r="B34" s="44">
        <f>4441.25+88.83</f>
        <v>4530.08</v>
      </c>
      <c r="C34" s="66"/>
      <c r="D34" s="71"/>
      <c r="E34" s="71">
        <v>-2265.04</v>
      </c>
      <c r="F34" s="41">
        <f>SUM(B34:E34)</f>
        <v>2265.04</v>
      </c>
      <c r="G34" s="11">
        <v>272.18</v>
      </c>
      <c r="H34" s="11">
        <v>493.15</v>
      </c>
      <c r="I34" s="4">
        <f t="shared" ref="I34" si="10">F34-G34-H34-M34</f>
        <v>0</v>
      </c>
      <c r="J34" s="4">
        <f t="shared" ref="J34" si="11">SUM(G34:I34)</f>
        <v>765.32999999999993</v>
      </c>
      <c r="K34" s="52">
        <f>SUM(F34-J34)</f>
        <v>1499.71</v>
      </c>
      <c r="L34" s="59"/>
      <c r="M34" s="60">
        <v>1499.71</v>
      </c>
    </row>
    <row r="35" spans="1:13" x14ac:dyDescent="0.25">
      <c r="A35" s="49" t="s">
        <v>22</v>
      </c>
      <c r="B35" s="44">
        <v>2063.08</v>
      </c>
      <c r="C35" s="66"/>
      <c r="D35" s="71"/>
      <c r="E35" s="71">
        <v>-998.5</v>
      </c>
      <c r="F35" s="41">
        <f>SUM(B35:E35)</f>
        <v>1064.58</v>
      </c>
      <c r="G35" s="11"/>
      <c r="H35" s="11">
        <v>169.13</v>
      </c>
      <c r="I35" s="4">
        <f t="shared" si="6"/>
        <v>0.85999999999989996</v>
      </c>
      <c r="J35" s="4">
        <f t="shared" si="1"/>
        <v>169.9899999999999</v>
      </c>
      <c r="K35" s="52">
        <f>SUM(F35-J35)</f>
        <v>894.59</v>
      </c>
      <c r="L35" s="59"/>
      <c r="M35" s="60">
        <v>894.59</v>
      </c>
    </row>
    <row r="36" spans="1:13" x14ac:dyDescent="0.25">
      <c r="A36" s="49" t="s">
        <v>23</v>
      </c>
      <c r="B36" s="44">
        <f>5021.09+723.04</f>
        <v>5744.13</v>
      </c>
      <c r="C36" s="66">
        <v>1004.22</v>
      </c>
      <c r="D36" s="71"/>
      <c r="E36" s="71">
        <v>-3344.05</v>
      </c>
      <c r="F36" s="41">
        <f>SUM(B36:E36)</f>
        <v>3404.3</v>
      </c>
      <c r="G36" s="11">
        <v>790.34</v>
      </c>
      <c r="H36" s="11">
        <f>229.92+483.16</f>
        <v>713.08</v>
      </c>
      <c r="I36" s="4">
        <f t="shared" si="6"/>
        <v>0</v>
      </c>
      <c r="J36" s="4">
        <f t="shared" si="1"/>
        <v>1503.42</v>
      </c>
      <c r="K36" s="52">
        <f t="shared" si="2"/>
        <v>1900.88</v>
      </c>
      <c r="L36" s="59"/>
      <c r="M36" s="60">
        <v>1900.88</v>
      </c>
    </row>
    <row r="37" spans="1:13" x14ac:dyDescent="0.25">
      <c r="A37" s="49" t="s">
        <v>24</v>
      </c>
      <c r="B37" s="44">
        <f>11980.55+3737.93</f>
        <v>15718.48</v>
      </c>
      <c r="C37" s="66">
        <v>2396.11</v>
      </c>
      <c r="D37" s="71"/>
      <c r="E37" s="71">
        <v>-9057.31</v>
      </c>
      <c r="F37" s="41">
        <f>SUM(B37:E37)</f>
        <v>9057.2800000000007</v>
      </c>
      <c r="G37" s="11">
        <v>3863.92</v>
      </c>
      <c r="H37" s="11">
        <v>713.08</v>
      </c>
      <c r="I37" s="4">
        <f t="shared" si="6"/>
        <v>0</v>
      </c>
      <c r="J37" s="4">
        <f t="shared" si="1"/>
        <v>4577</v>
      </c>
      <c r="K37" s="52">
        <f>SUM(F37-J37)</f>
        <v>4480.2800000000007</v>
      </c>
      <c r="L37" s="59"/>
      <c r="M37" s="60">
        <v>4480.28</v>
      </c>
    </row>
    <row r="38" spans="1:13" x14ac:dyDescent="0.25">
      <c r="A38" s="49" t="s">
        <v>25</v>
      </c>
      <c r="B38" s="44">
        <f>11980.55+3450.4</f>
        <v>15430.949999999999</v>
      </c>
      <c r="C38" s="66">
        <v>2396.11</v>
      </c>
      <c r="D38" s="71"/>
      <c r="E38" s="71">
        <v>-8558.36</v>
      </c>
      <c r="F38" s="41">
        <f>SUM(B38:E38)</f>
        <v>9268.6999999999971</v>
      </c>
      <c r="G38" s="11">
        <v>3784.85</v>
      </c>
      <c r="H38" s="11">
        <v>713.08</v>
      </c>
      <c r="I38" s="4">
        <f t="shared" si="6"/>
        <v>0</v>
      </c>
      <c r="J38" s="4">
        <f t="shared" si="1"/>
        <v>4497.93</v>
      </c>
      <c r="K38" s="52">
        <f t="shared" si="2"/>
        <v>4770.7699999999968</v>
      </c>
      <c r="L38" s="59"/>
      <c r="M38" s="60">
        <v>4770.7700000000004</v>
      </c>
    </row>
    <row r="39" spans="1:13" x14ac:dyDescent="0.25">
      <c r="A39" s="49" t="s">
        <v>71</v>
      </c>
      <c r="B39" s="44">
        <f>4927.52+591.3</f>
        <v>5518.8200000000006</v>
      </c>
      <c r="C39" s="66">
        <v>985.5</v>
      </c>
      <c r="D39" s="71">
        <v>8.33</v>
      </c>
      <c r="E39" s="71">
        <v>-3147.96</v>
      </c>
      <c r="F39" s="41">
        <f>SUM(B39:E39)</f>
        <v>3364.6900000000005</v>
      </c>
      <c r="G39" s="11">
        <v>725.52</v>
      </c>
      <c r="H39" s="11">
        <v>713.08</v>
      </c>
      <c r="I39" s="4">
        <f t="shared" si="6"/>
        <v>0</v>
      </c>
      <c r="J39" s="4">
        <f t="shared" si="1"/>
        <v>1438.6</v>
      </c>
      <c r="K39" s="52">
        <f t="shared" si="2"/>
        <v>1926.0900000000006</v>
      </c>
      <c r="L39" s="59"/>
      <c r="M39" s="60">
        <v>1926.09</v>
      </c>
    </row>
    <row r="40" spans="1:13" x14ac:dyDescent="0.25">
      <c r="A40" s="49" t="s">
        <v>26</v>
      </c>
      <c r="B40" s="44">
        <f>4657.65+335.35</f>
        <v>4993</v>
      </c>
      <c r="C40" s="66">
        <v>931.53</v>
      </c>
      <c r="D40" s="71"/>
      <c r="E40" s="71">
        <v>-2867.35</v>
      </c>
      <c r="F40" s="41">
        <f>SUM(B40:E40)</f>
        <v>3057.18</v>
      </c>
      <c r="G40" s="11">
        <v>466.31</v>
      </c>
      <c r="H40" s="11">
        <v>688.37</v>
      </c>
      <c r="I40" s="4">
        <f t="shared" si="6"/>
        <v>-9.9999999999909051E-3</v>
      </c>
      <c r="J40" s="4">
        <f t="shared" si="1"/>
        <v>1154.67</v>
      </c>
      <c r="K40" s="52">
        <f>SUM(F40-J40)</f>
        <v>1902.5099999999998</v>
      </c>
      <c r="L40" s="59"/>
      <c r="M40" s="60">
        <v>1902.51</v>
      </c>
    </row>
    <row r="41" spans="1:13" x14ac:dyDescent="0.25">
      <c r="A41" s="49" t="s">
        <v>67</v>
      </c>
      <c r="B41" s="44">
        <v>1881.14</v>
      </c>
      <c r="C41" s="66"/>
      <c r="D41" s="71"/>
      <c r="E41" s="71">
        <v>-931.44</v>
      </c>
      <c r="F41" s="41">
        <f>SUM(B41:E41)</f>
        <v>949.7</v>
      </c>
      <c r="G41" s="11"/>
      <c r="H41" s="11">
        <v>153.62</v>
      </c>
      <c r="I41" s="4">
        <f t="shared" ref="I41" si="12">F41-G41-H41-M41</f>
        <v>0</v>
      </c>
      <c r="J41" s="4">
        <f t="shared" ref="J41" si="13">SUM(G41:I41)</f>
        <v>153.62</v>
      </c>
      <c r="K41" s="52">
        <f t="shared" ref="K41" si="14">SUM(F41-J41)</f>
        <v>796.08</v>
      </c>
      <c r="L41" s="59"/>
      <c r="M41" s="60">
        <v>796.08</v>
      </c>
    </row>
    <row r="42" spans="1:13" x14ac:dyDescent="0.25">
      <c r="A42" s="49" t="s">
        <v>27</v>
      </c>
      <c r="B42" s="44">
        <v>3015.51</v>
      </c>
      <c r="C42" s="66"/>
      <c r="D42" s="71"/>
      <c r="E42" s="71">
        <v>-1507.76</v>
      </c>
      <c r="F42" s="41">
        <f>SUM(B42:E42)</f>
        <v>1507.7500000000002</v>
      </c>
      <c r="G42" s="11">
        <v>62.1</v>
      </c>
      <c r="H42" s="11">
        <v>283.49</v>
      </c>
      <c r="I42" s="4">
        <f t="shared" si="6"/>
        <v>-9.9999999997635314E-3</v>
      </c>
      <c r="J42" s="4">
        <f t="shared" si="1"/>
        <v>345.58000000000027</v>
      </c>
      <c r="K42" s="52">
        <f t="shared" si="2"/>
        <v>1162.17</v>
      </c>
      <c r="L42" s="59"/>
      <c r="M42" s="60">
        <v>1162.17</v>
      </c>
    </row>
    <row r="43" spans="1:13" ht="15.75" thickBot="1" x14ac:dyDescent="0.3">
      <c r="A43" s="49" t="s">
        <v>28</v>
      </c>
      <c r="B43" s="45">
        <f>11980.55+3594.17</f>
        <v>15574.72</v>
      </c>
      <c r="C43" s="67">
        <v>2396.11</v>
      </c>
      <c r="D43" s="71"/>
      <c r="E43" s="71">
        <v>-8627.94</v>
      </c>
      <c r="F43" s="42">
        <f>SUM(B43:E43)</f>
        <v>9342.8899999999976</v>
      </c>
      <c r="G43" s="11">
        <v>3772.25</v>
      </c>
      <c r="H43" s="11">
        <v>713.08</v>
      </c>
      <c r="I43" s="4">
        <f t="shared" si="6"/>
        <v>0</v>
      </c>
      <c r="J43" s="4">
        <f t="shared" si="1"/>
        <v>4485.33</v>
      </c>
      <c r="K43" s="53">
        <f t="shared" si="2"/>
        <v>4857.5599999999977</v>
      </c>
      <c r="L43" s="59"/>
      <c r="M43" s="60">
        <v>4857.5600000000004</v>
      </c>
    </row>
    <row r="44" spans="1:13" x14ac:dyDescent="0.25">
      <c r="A44" s="86" t="s">
        <v>57</v>
      </c>
      <c r="B44" s="88" t="s">
        <v>48</v>
      </c>
      <c r="C44" s="95" t="s">
        <v>83</v>
      </c>
      <c r="D44" s="92" t="s">
        <v>76</v>
      </c>
      <c r="E44" s="64" t="s">
        <v>84</v>
      </c>
      <c r="F44" s="55" t="s">
        <v>49</v>
      </c>
      <c r="G44" s="90" t="s">
        <v>51</v>
      </c>
      <c r="H44" s="90" t="s">
        <v>52</v>
      </c>
      <c r="I44" s="36" t="s">
        <v>53</v>
      </c>
      <c r="J44" s="36" t="s">
        <v>55</v>
      </c>
      <c r="K44" s="57" t="s">
        <v>49</v>
      </c>
      <c r="L44" s="62"/>
      <c r="M44" s="62"/>
    </row>
    <row r="45" spans="1:13" ht="15.75" thickBot="1" x14ac:dyDescent="0.3">
      <c r="A45" s="87"/>
      <c r="B45" s="89"/>
      <c r="C45" s="96"/>
      <c r="D45" s="93"/>
      <c r="E45" s="73" t="s">
        <v>94</v>
      </c>
      <c r="F45" s="56" t="s">
        <v>50</v>
      </c>
      <c r="G45" s="91"/>
      <c r="H45" s="91"/>
      <c r="I45" s="37" t="s">
        <v>54</v>
      </c>
      <c r="J45" s="37" t="s">
        <v>54</v>
      </c>
      <c r="K45" s="58" t="s">
        <v>56</v>
      </c>
      <c r="L45" s="62"/>
      <c r="M45" s="62"/>
    </row>
    <row r="46" spans="1:13" x14ac:dyDescent="0.25">
      <c r="A46" s="49" t="s">
        <v>29</v>
      </c>
      <c r="B46" s="47">
        <v>2069.3000000000002</v>
      </c>
      <c r="C46" s="68"/>
      <c r="D46" s="71"/>
      <c r="E46" s="71">
        <v>-1025.33</v>
      </c>
      <c r="F46" s="46">
        <f>SUM(B46:E46)</f>
        <v>1043.9700000000003</v>
      </c>
      <c r="G46" s="11"/>
      <c r="H46" s="11">
        <v>170.55</v>
      </c>
      <c r="I46" s="4">
        <f t="shared" ref="I46:I66" si="15">F46-G46-H46-M46</f>
        <v>0</v>
      </c>
      <c r="J46" s="4">
        <f t="shared" si="1"/>
        <v>170.55</v>
      </c>
      <c r="K46" s="54">
        <f t="shared" si="2"/>
        <v>873.4200000000003</v>
      </c>
      <c r="L46" s="59"/>
      <c r="M46" s="60">
        <v>873.42</v>
      </c>
    </row>
    <row r="47" spans="1:13" x14ac:dyDescent="0.25">
      <c r="A47" s="49" t="s">
        <v>30</v>
      </c>
      <c r="B47" s="44">
        <v>4225.22</v>
      </c>
      <c r="C47" s="66"/>
      <c r="D47" s="71">
        <v>12.5</v>
      </c>
      <c r="E47" s="71">
        <v>-2095.15</v>
      </c>
      <c r="F47" s="41">
        <f>SUM(B47:E47)</f>
        <v>2142.5700000000002</v>
      </c>
      <c r="G47" s="11">
        <v>215.61</v>
      </c>
      <c r="H47" s="11">
        <v>452.21</v>
      </c>
      <c r="I47" s="4">
        <f t="shared" si="15"/>
        <v>0</v>
      </c>
      <c r="J47" s="4">
        <f t="shared" si="1"/>
        <v>667.81999999999994</v>
      </c>
      <c r="K47" s="52">
        <f t="shared" si="2"/>
        <v>1474.7500000000002</v>
      </c>
      <c r="L47" s="59"/>
      <c r="M47" s="60">
        <v>1474.75</v>
      </c>
    </row>
    <row r="48" spans="1:13" x14ac:dyDescent="0.25">
      <c r="A48" s="49" t="s">
        <v>31</v>
      </c>
      <c r="B48" s="44">
        <f>7858.53+1100.19</f>
        <v>8958.7199999999993</v>
      </c>
      <c r="C48" s="66"/>
      <c r="D48" s="71"/>
      <c r="E48" s="71">
        <v>-4440.08</v>
      </c>
      <c r="F48" s="41">
        <f>SUM(B48:E48)</f>
        <v>4518.6399999999994</v>
      </c>
      <c r="G48" s="11">
        <v>1346.05</v>
      </c>
      <c r="H48" s="11">
        <v>713.08</v>
      </c>
      <c r="I48" s="4">
        <f t="shared" si="15"/>
        <v>0</v>
      </c>
      <c r="J48" s="4">
        <f t="shared" si="1"/>
        <v>2059.13</v>
      </c>
      <c r="K48" s="52">
        <f t="shared" si="2"/>
        <v>2459.5099999999993</v>
      </c>
      <c r="L48" s="59"/>
      <c r="M48" s="60">
        <v>2459.5100000000002</v>
      </c>
    </row>
    <row r="49" spans="1:13" x14ac:dyDescent="0.25">
      <c r="A49" s="49" t="s">
        <v>32</v>
      </c>
      <c r="B49" s="44">
        <f>5288.3+1776.87</f>
        <v>7065.17</v>
      </c>
      <c r="C49" s="66">
        <v>2115.3200000000002</v>
      </c>
      <c r="D49" s="71">
        <v>4.17</v>
      </c>
      <c r="E49" s="71">
        <v>-4553.2299999999996</v>
      </c>
      <c r="F49" s="41">
        <f>SUM(B49:E49)</f>
        <v>4631.43</v>
      </c>
      <c r="G49" s="11">
        <v>1356.05</v>
      </c>
      <c r="H49" s="11">
        <f>550.64+162.44</f>
        <v>713.07999999999993</v>
      </c>
      <c r="I49" s="4">
        <f>F49-G49-H49-M49</f>
        <v>0</v>
      </c>
      <c r="J49" s="4">
        <f>SUM(G49:I49)</f>
        <v>2069.13</v>
      </c>
      <c r="K49" s="52">
        <f t="shared" si="2"/>
        <v>2562.3000000000002</v>
      </c>
      <c r="L49" s="59"/>
      <c r="M49" s="60">
        <v>2562.3000000000002</v>
      </c>
    </row>
    <row r="50" spans="1:13" x14ac:dyDescent="0.25">
      <c r="A50" s="49" t="s">
        <v>33</v>
      </c>
      <c r="B50" s="44">
        <f>4927.52+827.82</f>
        <v>5755.34</v>
      </c>
      <c r="C50" s="66">
        <v>985.5</v>
      </c>
      <c r="D50" s="71"/>
      <c r="E50" s="71">
        <v>-3233.81</v>
      </c>
      <c r="F50" s="41">
        <f>SUM(B50:E50)</f>
        <v>3507.03</v>
      </c>
      <c r="G50" s="11">
        <v>684</v>
      </c>
      <c r="H50" s="11">
        <f>435.1+277.98</f>
        <v>713.08</v>
      </c>
      <c r="I50" s="4">
        <f t="shared" si="15"/>
        <v>0</v>
      </c>
      <c r="J50" s="4">
        <f t="shared" si="1"/>
        <v>1397.08</v>
      </c>
      <c r="K50" s="52">
        <f t="shared" si="2"/>
        <v>2109.9500000000003</v>
      </c>
      <c r="L50" s="59"/>
      <c r="M50" s="60">
        <v>2109.9499999999998</v>
      </c>
    </row>
    <row r="51" spans="1:13" x14ac:dyDescent="0.25">
      <c r="A51" s="49" t="s">
        <v>34</v>
      </c>
      <c r="B51" s="44">
        <v>6876.86</v>
      </c>
      <c r="C51" s="66"/>
      <c r="D51" s="71">
        <v>10.53</v>
      </c>
      <c r="E51" s="71">
        <v>-3438.44</v>
      </c>
      <c r="F51" s="41">
        <f>SUM(B51:E51)</f>
        <v>3448.9499999999994</v>
      </c>
      <c r="G51" s="11">
        <v>776.52</v>
      </c>
      <c r="H51" s="11">
        <v>713.08</v>
      </c>
      <c r="I51" s="4">
        <f t="shared" si="15"/>
        <v>-0.30000000000063665</v>
      </c>
      <c r="J51" s="4">
        <f t="shared" si="1"/>
        <v>1489.2999999999993</v>
      </c>
      <c r="K51" s="52">
        <f>SUM(F51-J51)</f>
        <v>1959.65</v>
      </c>
      <c r="L51" s="59"/>
      <c r="M51" s="60">
        <v>1959.65</v>
      </c>
    </row>
    <row r="52" spans="1:13" x14ac:dyDescent="0.25">
      <c r="A52" s="49" t="s">
        <v>35</v>
      </c>
      <c r="B52" s="44">
        <f>4927.52+591.3</f>
        <v>5518.8200000000006</v>
      </c>
      <c r="C52" s="66">
        <v>985.5</v>
      </c>
      <c r="D52" s="71"/>
      <c r="E52" s="71">
        <v>-3252.16</v>
      </c>
      <c r="F52" s="41">
        <f>SUM(B52:E52)</f>
        <v>3252.1600000000008</v>
      </c>
      <c r="G52" s="11">
        <v>671.09</v>
      </c>
      <c r="H52" s="11">
        <f>250.42+462.66</f>
        <v>713.08</v>
      </c>
      <c r="I52" s="4">
        <f t="shared" si="15"/>
        <v>0</v>
      </c>
      <c r="J52" s="4">
        <f t="shared" si="1"/>
        <v>1384.17</v>
      </c>
      <c r="K52" s="52">
        <f>SUM(F52-J52)</f>
        <v>1867.9900000000007</v>
      </c>
      <c r="L52" s="59"/>
      <c r="M52" s="60">
        <v>1867.99</v>
      </c>
    </row>
    <row r="53" spans="1:13" x14ac:dyDescent="0.25">
      <c r="A53" s="49" t="s">
        <v>36</v>
      </c>
      <c r="B53" s="44">
        <v>4183.3999999999996</v>
      </c>
      <c r="C53" s="66"/>
      <c r="D53" s="71"/>
      <c r="E53" s="71">
        <v>-2091.71</v>
      </c>
      <c r="F53" s="41">
        <f>SUM(B53:E53)</f>
        <v>2091.6899999999996</v>
      </c>
      <c r="G53" s="11">
        <v>149.13999999999999</v>
      </c>
      <c r="H53" s="11">
        <v>444.61</v>
      </c>
      <c r="I53" s="4">
        <f t="shared" si="15"/>
        <v>0</v>
      </c>
      <c r="J53" s="4">
        <f t="shared" si="1"/>
        <v>593.75</v>
      </c>
      <c r="K53" s="52">
        <f t="shared" si="2"/>
        <v>1497.9399999999996</v>
      </c>
      <c r="L53" s="59"/>
      <c r="M53" s="60">
        <v>1497.94</v>
      </c>
    </row>
    <row r="54" spans="1:13" x14ac:dyDescent="0.25">
      <c r="A54" s="49" t="s">
        <v>81</v>
      </c>
      <c r="B54" s="44">
        <v>2433.34</v>
      </c>
      <c r="C54" s="66"/>
      <c r="D54" s="71"/>
      <c r="E54" s="71">
        <v>-1216.68</v>
      </c>
      <c r="F54" s="41">
        <f>SUM(B54:E54)</f>
        <v>1216.6600000000001</v>
      </c>
      <c r="G54" s="11">
        <v>23.68</v>
      </c>
      <c r="H54" s="11">
        <v>213.62</v>
      </c>
      <c r="I54" s="4">
        <f t="shared" si="15"/>
        <v>0</v>
      </c>
      <c r="J54" s="4">
        <f t="shared" si="1"/>
        <v>237.3</v>
      </c>
      <c r="K54" s="52">
        <f t="shared" si="2"/>
        <v>979.36000000000013</v>
      </c>
      <c r="L54" s="59"/>
      <c r="M54" s="60">
        <v>979.36</v>
      </c>
    </row>
    <row r="55" spans="1:13" x14ac:dyDescent="0.25">
      <c r="A55" s="49" t="s">
        <v>38</v>
      </c>
      <c r="B55" s="44">
        <f>12454.51+9465.43</f>
        <v>21919.940000000002</v>
      </c>
      <c r="C55" s="66">
        <v>12454.51</v>
      </c>
      <c r="D55" s="71"/>
      <c r="E55" s="71">
        <v>-17187.240000000002</v>
      </c>
      <c r="F55" s="41">
        <f>SUM(B55:E55)</f>
        <v>17187.210000000003</v>
      </c>
      <c r="G55" s="11">
        <v>8387.52</v>
      </c>
      <c r="H55" s="11">
        <v>713.08</v>
      </c>
      <c r="I55" s="4">
        <f t="shared" si="15"/>
        <v>0</v>
      </c>
      <c r="J55" s="4">
        <f t="shared" si="1"/>
        <v>9100.6</v>
      </c>
      <c r="K55" s="52">
        <f t="shared" si="2"/>
        <v>8086.6100000000024</v>
      </c>
      <c r="L55" s="59"/>
      <c r="M55" s="60">
        <v>8086.61</v>
      </c>
    </row>
    <row r="56" spans="1:13" x14ac:dyDescent="0.25">
      <c r="A56" s="49" t="s">
        <v>39</v>
      </c>
      <c r="B56" s="44">
        <f>4927.52+709.56</f>
        <v>5637.08</v>
      </c>
      <c r="C56" s="66">
        <v>985.5</v>
      </c>
      <c r="D56" s="71"/>
      <c r="E56" s="71">
        <v>-3281.73</v>
      </c>
      <c r="F56" s="41">
        <f>SUM(B56:E56)</f>
        <v>3340.85</v>
      </c>
      <c r="G56" s="11">
        <v>703.62</v>
      </c>
      <c r="H56" s="11">
        <f>37.36+675.72</f>
        <v>713.08</v>
      </c>
      <c r="I56" s="4">
        <f t="shared" si="15"/>
        <v>0</v>
      </c>
      <c r="J56" s="4">
        <f t="shared" si="1"/>
        <v>1416.7</v>
      </c>
      <c r="K56" s="52">
        <f t="shared" si="2"/>
        <v>1924.1499999999999</v>
      </c>
      <c r="L56" s="59"/>
      <c r="M56" s="60">
        <v>1924.15</v>
      </c>
    </row>
    <row r="57" spans="1:13" x14ac:dyDescent="0.25">
      <c r="A57" s="49" t="s">
        <v>40</v>
      </c>
      <c r="B57" s="44">
        <v>5515.73</v>
      </c>
      <c r="C57" s="66"/>
      <c r="D57" s="71"/>
      <c r="E57" s="71">
        <v>-2732.33</v>
      </c>
      <c r="F57" s="41">
        <f>SUM(B57:E57)</f>
        <v>2783.3999999999996</v>
      </c>
      <c r="G57" s="11">
        <v>421.77</v>
      </c>
      <c r="H57" s="11">
        <v>631.13</v>
      </c>
      <c r="I57" s="4">
        <f t="shared" si="15"/>
        <v>0</v>
      </c>
      <c r="J57" s="4">
        <f t="shared" si="1"/>
        <v>1052.9000000000001</v>
      </c>
      <c r="K57" s="52">
        <f t="shared" si="2"/>
        <v>1730.4999999999995</v>
      </c>
      <c r="L57" s="59"/>
      <c r="M57" s="60">
        <v>1730.5</v>
      </c>
    </row>
    <row r="58" spans="1:13" x14ac:dyDescent="0.25">
      <c r="A58" s="49" t="s">
        <v>66</v>
      </c>
      <c r="B58" s="44">
        <v>1881.14</v>
      </c>
      <c r="C58" s="66"/>
      <c r="D58" s="71"/>
      <c r="E58" s="71">
        <v>-931.44</v>
      </c>
      <c r="F58" s="41">
        <f>SUM(B58:E58)</f>
        <v>949.7</v>
      </c>
      <c r="G58" s="11"/>
      <c r="H58" s="11">
        <v>153.62</v>
      </c>
      <c r="I58" s="4">
        <f t="shared" ref="I58" si="16">F58-G58-H58-M58</f>
        <v>0</v>
      </c>
      <c r="J58" s="4">
        <f t="shared" ref="J58" si="17">SUM(G58:I58)</f>
        <v>153.62</v>
      </c>
      <c r="K58" s="52">
        <f t="shared" ref="K58" si="18">SUM(F58-J58)</f>
        <v>796.08</v>
      </c>
      <c r="L58" s="59"/>
      <c r="M58" s="60">
        <v>796.08</v>
      </c>
    </row>
    <row r="59" spans="1:13" x14ac:dyDescent="0.25">
      <c r="A59" s="49" t="s">
        <v>41</v>
      </c>
      <c r="B59" s="44">
        <f>11980.55+4025.46</f>
        <v>16006.009999999998</v>
      </c>
      <c r="C59" s="66">
        <v>2396.11</v>
      </c>
      <c r="D59" s="71"/>
      <c r="E59" s="71">
        <v>-8836.69</v>
      </c>
      <c r="F59" s="41">
        <f>SUM(B59:E59)</f>
        <v>9565.4299999999985</v>
      </c>
      <c r="G59" s="11">
        <v>3995.13</v>
      </c>
      <c r="H59" s="11">
        <f>249.58+463.5</f>
        <v>713.08</v>
      </c>
      <c r="I59" s="4">
        <f t="shared" si="15"/>
        <v>0</v>
      </c>
      <c r="J59" s="4">
        <f t="shared" si="1"/>
        <v>4708.21</v>
      </c>
      <c r="K59" s="52">
        <f>SUM(F59-J59)</f>
        <v>4857.2199999999984</v>
      </c>
      <c r="L59" s="59"/>
      <c r="M59" s="60">
        <v>4857.22</v>
      </c>
    </row>
    <row r="60" spans="1:13" x14ac:dyDescent="0.25">
      <c r="A60" s="49" t="s">
        <v>42</v>
      </c>
      <c r="B60" s="44">
        <v>2160.0700000000002</v>
      </c>
      <c r="C60" s="66"/>
      <c r="D60" s="71"/>
      <c r="E60" s="71">
        <v>-1070.56</v>
      </c>
      <c r="F60" s="41">
        <f>SUM(B60:E60)</f>
        <v>1089.5100000000002</v>
      </c>
      <c r="G60" s="11"/>
      <c r="H60" s="11">
        <v>180.83</v>
      </c>
      <c r="I60" s="4">
        <f t="shared" si="15"/>
        <v>0</v>
      </c>
      <c r="J60" s="4">
        <f t="shared" si="1"/>
        <v>180.83</v>
      </c>
      <c r="K60" s="52">
        <f t="shared" si="2"/>
        <v>908.68000000000018</v>
      </c>
      <c r="L60" s="59"/>
      <c r="M60" s="60">
        <v>908.68</v>
      </c>
    </row>
    <row r="61" spans="1:13" x14ac:dyDescent="0.25">
      <c r="A61" s="49" t="s">
        <v>44</v>
      </c>
      <c r="B61" s="44">
        <f>10377.23+3860.33</f>
        <v>14237.56</v>
      </c>
      <c r="C61" s="66">
        <v>2075.4499999999998</v>
      </c>
      <c r="D61" s="71"/>
      <c r="E61" s="71">
        <v>-7895.19</v>
      </c>
      <c r="F61" s="41">
        <f>SUM(B61:E61)</f>
        <v>8417.82</v>
      </c>
      <c r="G61" s="11">
        <v>3316.35</v>
      </c>
      <c r="H61" s="11">
        <v>713.08</v>
      </c>
      <c r="I61" s="4">
        <f t="shared" si="15"/>
        <v>0</v>
      </c>
      <c r="J61" s="4">
        <f t="shared" si="1"/>
        <v>4029.43</v>
      </c>
      <c r="K61" s="52">
        <f>SUM(F61-J61)</f>
        <v>4388.3899999999994</v>
      </c>
      <c r="L61" s="59"/>
      <c r="M61" s="60">
        <v>4388.3900000000003</v>
      </c>
    </row>
    <row r="62" spans="1:13" x14ac:dyDescent="0.25">
      <c r="A62" s="49" t="s">
        <v>45</v>
      </c>
      <c r="B62" s="44">
        <v>4993.3999999999996</v>
      </c>
      <c r="C62" s="66"/>
      <c r="D62" s="71"/>
      <c r="E62" s="71">
        <v>-2416.6999999999998</v>
      </c>
      <c r="F62" s="41">
        <f>SUM(B62:E62)</f>
        <v>2576.6999999999998</v>
      </c>
      <c r="G62" s="11">
        <v>319.18</v>
      </c>
      <c r="H62" s="11">
        <v>558.01</v>
      </c>
      <c r="I62" s="4">
        <f t="shared" si="15"/>
        <v>0</v>
      </c>
      <c r="J62" s="4">
        <f t="shared" si="1"/>
        <v>877.19</v>
      </c>
      <c r="K62" s="52">
        <f t="shared" si="2"/>
        <v>1699.5099999999998</v>
      </c>
      <c r="L62" s="59"/>
      <c r="M62" s="60">
        <v>1699.51</v>
      </c>
    </row>
    <row r="63" spans="1:13" x14ac:dyDescent="0.25">
      <c r="A63" s="49" t="s">
        <v>46</v>
      </c>
      <c r="B63" s="44">
        <v>2008.02</v>
      </c>
      <c r="C63" s="66"/>
      <c r="D63" s="71"/>
      <c r="E63" s="71">
        <v>-1004.02</v>
      </c>
      <c r="F63" s="41">
        <f>SUM(B63:E63)</f>
        <v>1004</v>
      </c>
      <c r="G63" s="11"/>
      <c r="H63" s="11">
        <v>165.04</v>
      </c>
      <c r="I63" s="4">
        <f t="shared" si="15"/>
        <v>0</v>
      </c>
      <c r="J63" s="4">
        <f t="shared" si="1"/>
        <v>165.04</v>
      </c>
      <c r="K63" s="52">
        <f t="shared" si="2"/>
        <v>838.96</v>
      </c>
      <c r="L63" s="59"/>
      <c r="M63" s="60">
        <v>838.96</v>
      </c>
    </row>
    <row r="64" spans="1:13" x14ac:dyDescent="0.25">
      <c r="A64" s="49" t="s">
        <v>82</v>
      </c>
      <c r="B64" s="44">
        <v>4033.32</v>
      </c>
      <c r="C64" s="66"/>
      <c r="D64" s="71"/>
      <c r="E64" s="71">
        <v>-1996.7</v>
      </c>
      <c r="F64" s="41">
        <f>SUM(B64:E64)</f>
        <v>2036.6200000000001</v>
      </c>
      <c r="G64" s="11">
        <v>186.66</v>
      </c>
      <c r="H64" s="11">
        <v>423.59</v>
      </c>
      <c r="I64" s="4">
        <f t="shared" ref="I64" si="19">F64-G64-H64-M64</f>
        <v>0</v>
      </c>
      <c r="J64" s="4">
        <f t="shared" ref="J64" si="20">SUM(G64:I64)</f>
        <v>610.25</v>
      </c>
      <c r="K64" s="52">
        <f t="shared" ref="K64" si="21">SUM(F64-J64)</f>
        <v>1426.3700000000001</v>
      </c>
      <c r="L64" s="59"/>
      <c r="M64" s="60">
        <v>1426.37</v>
      </c>
    </row>
    <row r="65" spans="1:13" x14ac:dyDescent="0.25">
      <c r="A65" s="49" t="s">
        <v>80</v>
      </c>
      <c r="B65" s="44">
        <f>1755.42+17.55</f>
        <v>1772.97</v>
      </c>
      <c r="C65" s="66"/>
      <c r="D65" s="71"/>
      <c r="E65" s="71">
        <v>-886.49</v>
      </c>
      <c r="F65" s="41">
        <f>SUM(B65:E65)</f>
        <v>886.48</v>
      </c>
      <c r="G65" s="11"/>
      <c r="H65" s="11">
        <v>143.88</v>
      </c>
      <c r="I65" s="4">
        <f t="shared" ref="I65" si="22">F65-G65-H65-M65</f>
        <v>0</v>
      </c>
      <c r="J65" s="4">
        <f t="shared" ref="J65" si="23">SUM(G65:I65)</f>
        <v>143.88</v>
      </c>
      <c r="K65" s="52">
        <f t="shared" ref="K65" si="24">SUM(F65-J65)</f>
        <v>742.6</v>
      </c>
      <c r="L65" s="59"/>
      <c r="M65" s="60">
        <v>742.6</v>
      </c>
    </row>
    <row r="66" spans="1:13" ht="15.75" thickBot="1" x14ac:dyDescent="0.3">
      <c r="A66" s="50" t="s">
        <v>47</v>
      </c>
      <c r="B66" s="45">
        <f>8015.71+1154.26</f>
        <v>9169.9699999999993</v>
      </c>
      <c r="C66" s="69">
        <v>1603.14</v>
      </c>
      <c r="D66" s="72"/>
      <c r="E66" s="72">
        <v>-5338.47</v>
      </c>
      <c r="F66" s="42">
        <f>SUM(B66:E66)</f>
        <v>5434.6399999999985</v>
      </c>
      <c r="G66" s="38">
        <v>1845.01</v>
      </c>
      <c r="H66" s="38">
        <v>713.08</v>
      </c>
      <c r="I66" s="39">
        <f t="shared" si="15"/>
        <v>0</v>
      </c>
      <c r="J66" s="39">
        <f t="shared" si="1"/>
        <v>2558.09</v>
      </c>
      <c r="K66" s="53">
        <f t="shared" si="2"/>
        <v>2876.5499999999984</v>
      </c>
      <c r="L66" s="59"/>
      <c r="M66" s="60">
        <v>2876.55</v>
      </c>
    </row>
    <row r="67" spans="1:13" ht="15.75" thickBot="1" x14ac:dyDescent="0.3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3" x14ac:dyDescent="0.25">
      <c r="A68" s="83" t="s">
        <v>91</v>
      </c>
      <c r="B68" s="84"/>
      <c r="C68" s="84"/>
      <c r="D68" s="84"/>
      <c r="E68" s="84"/>
      <c r="F68" s="84"/>
      <c r="G68" s="84"/>
      <c r="H68" s="84"/>
      <c r="I68" s="84"/>
      <c r="J68" s="84"/>
      <c r="K68" s="85"/>
    </row>
    <row r="69" spans="1:13" x14ac:dyDescent="0.25">
      <c r="A69" s="97" t="s">
        <v>89</v>
      </c>
      <c r="B69" s="98"/>
      <c r="C69" s="98"/>
      <c r="D69" s="98"/>
      <c r="E69" s="98"/>
      <c r="F69" s="98"/>
      <c r="G69" s="98"/>
      <c r="H69" s="98"/>
      <c r="I69" s="98"/>
      <c r="J69" s="98"/>
      <c r="K69" s="99"/>
    </row>
    <row r="70" spans="1:13" ht="5.25" customHeight="1" x14ac:dyDescent="0.25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2"/>
    </row>
    <row r="71" spans="1:13" x14ac:dyDescent="0.25">
      <c r="A71" s="103" t="s">
        <v>90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5"/>
    </row>
    <row r="72" spans="1:13" x14ac:dyDescent="0.25">
      <c r="A72" s="106" t="s">
        <v>85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8"/>
    </row>
    <row r="73" spans="1:13" x14ac:dyDescent="0.25">
      <c r="A73" s="106" t="s">
        <v>86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8"/>
    </row>
    <row r="74" spans="1:13" x14ac:dyDescent="0.25">
      <c r="A74" s="106" t="s">
        <v>87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8"/>
    </row>
    <row r="75" spans="1:13" ht="15.75" thickBot="1" x14ac:dyDescent="0.3">
      <c r="A75" s="80" t="s">
        <v>88</v>
      </c>
      <c r="B75" s="81"/>
      <c r="C75" s="81"/>
      <c r="D75" s="81"/>
      <c r="E75" s="81"/>
      <c r="F75" s="81"/>
      <c r="G75" s="81"/>
      <c r="H75" s="81"/>
      <c r="I75" s="81"/>
      <c r="J75" s="81"/>
      <c r="K75" s="82"/>
    </row>
    <row r="76" spans="1:13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</row>
    <row r="77" spans="1:13" x14ac:dyDescent="0.25">
      <c r="A77" s="25"/>
      <c r="B77" s="17"/>
      <c r="C77" s="63"/>
      <c r="D77" s="17"/>
      <c r="E77" s="17"/>
      <c r="F77" s="17"/>
      <c r="G77" s="17"/>
      <c r="H77" s="17"/>
      <c r="I77" s="17"/>
      <c r="J77" s="17"/>
      <c r="K77" s="17"/>
    </row>
    <row r="78" spans="1:13" ht="15.75" thickBot="1" x14ac:dyDescent="0.3">
      <c r="A78" s="18"/>
      <c r="B78" s="17"/>
      <c r="C78" s="63"/>
      <c r="D78" s="17"/>
      <c r="E78" s="17"/>
      <c r="F78" s="17"/>
      <c r="G78" s="17"/>
      <c r="H78" s="17"/>
      <c r="I78" s="17"/>
      <c r="J78" s="17"/>
      <c r="K78" s="17"/>
    </row>
    <row r="79" spans="1:13" ht="15.75" x14ac:dyDescent="0.25">
      <c r="A79" s="20"/>
      <c r="B79" s="20"/>
      <c r="C79" s="20"/>
      <c r="D79" s="20"/>
      <c r="E79" s="20"/>
      <c r="F79" s="29" t="s">
        <v>72</v>
      </c>
      <c r="G79" s="30" t="s">
        <v>73</v>
      </c>
      <c r="H79" s="30" t="s">
        <v>52</v>
      </c>
      <c r="I79" s="74" t="s">
        <v>74</v>
      </c>
      <c r="J79" s="75"/>
    </row>
    <row r="80" spans="1:13" x14ac:dyDescent="0.25">
      <c r="A80" s="13"/>
      <c r="B80" s="13"/>
      <c r="C80" s="13"/>
      <c r="D80" s="13"/>
      <c r="E80" s="13"/>
      <c r="F80" s="31">
        <f>SUM(F7:F43)</f>
        <v>164122.53999999995</v>
      </c>
      <c r="G80" s="32">
        <f>SUM(G7:G43)</f>
        <v>54677.789999999986</v>
      </c>
      <c r="H80" s="32">
        <f>SUM(H7:H43)</f>
        <v>18864.780000000002</v>
      </c>
      <c r="I80" s="76">
        <f>SUM(K7:K43)</f>
        <v>89235.059999999983</v>
      </c>
      <c r="J80" s="77"/>
    </row>
    <row r="81" spans="1:11" x14ac:dyDescent="0.25">
      <c r="A81" s="13"/>
      <c r="B81" s="13"/>
      <c r="C81" s="13"/>
      <c r="D81" s="13"/>
      <c r="E81" s="13"/>
      <c r="F81" s="31">
        <f>SUM(F46:F66)</f>
        <v>81125.459999999977</v>
      </c>
      <c r="G81" s="32">
        <f>SUM(G46:G66)</f>
        <v>24397.379999999997</v>
      </c>
      <c r="H81" s="32">
        <f>SUM(H46:H66)</f>
        <v>10667.89</v>
      </c>
      <c r="I81" s="76">
        <f>SUM(K46:K66)</f>
        <v>46060.490000000005</v>
      </c>
      <c r="J81" s="77"/>
    </row>
    <row r="82" spans="1:11" ht="16.5" thickBot="1" x14ac:dyDescent="0.3">
      <c r="A82" s="13"/>
      <c r="B82" s="13"/>
      <c r="C82" s="13"/>
      <c r="D82" s="13"/>
      <c r="E82" s="7"/>
      <c r="F82" s="33">
        <f>SUM(F80:F81)</f>
        <v>245247.99999999994</v>
      </c>
      <c r="G82" s="34">
        <f>SUM(G80:G81)</f>
        <v>79075.169999999984</v>
      </c>
      <c r="H82" s="34">
        <f>SUM(H80:H81)</f>
        <v>29532.670000000002</v>
      </c>
      <c r="I82" s="78">
        <f>SUM(I80:I81)</f>
        <v>135295.54999999999</v>
      </c>
      <c r="J82" s="79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</sheetData>
  <mergeCells count="28">
    <mergeCell ref="A1:K1"/>
    <mergeCell ref="A2:K2"/>
    <mergeCell ref="A3:K3"/>
    <mergeCell ref="A5:A6"/>
    <mergeCell ref="B5:B6"/>
    <mergeCell ref="G5:G6"/>
    <mergeCell ref="H5:H6"/>
    <mergeCell ref="D5:D6"/>
    <mergeCell ref="C5:C6"/>
    <mergeCell ref="A69:K69"/>
    <mergeCell ref="A70:K70"/>
    <mergeCell ref="A71:K71"/>
    <mergeCell ref="A72:K72"/>
    <mergeCell ref="A74:K74"/>
    <mergeCell ref="A73:K73"/>
    <mergeCell ref="A68:K68"/>
    <mergeCell ref="A44:A45"/>
    <mergeCell ref="B44:B45"/>
    <mergeCell ref="G44:G45"/>
    <mergeCell ref="H44:H45"/>
    <mergeCell ref="D44:D45"/>
    <mergeCell ref="A67:K67"/>
    <mergeCell ref="C44:C45"/>
    <mergeCell ref="I79:J79"/>
    <mergeCell ref="I80:J80"/>
    <mergeCell ref="I81:J81"/>
    <mergeCell ref="I82:J82"/>
    <mergeCell ref="A75:K75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11" t="s">
        <v>58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25">
      <c r="A2" s="111" t="s">
        <v>59</v>
      </c>
      <c r="B2" s="111"/>
      <c r="C2" s="111"/>
      <c r="D2" s="111"/>
      <c r="E2" s="111"/>
      <c r="F2" s="111"/>
      <c r="G2" s="111"/>
      <c r="H2" s="111"/>
      <c r="I2" s="111"/>
    </row>
    <row r="3" spans="1:12" ht="4.5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</row>
    <row r="4" spans="1:12" ht="16.5" thickBot="1" x14ac:dyDescent="0.3">
      <c r="A4" s="22" t="s">
        <v>77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13" t="s">
        <v>57</v>
      </c>
      <c r="B5" s="115" t="s">
        <v>48</v>
      </c>
      <c r="C5" s="115" t="s">
        <v>76</v>
      </c>
      <c r="D5" s="5" t="s">
        <v>49</v>
      </c>
      <c r="E5" s="115" t="s">
        <v>51</v>
      </c>
      <c r="F5" s="115" t="s">
        <v>52</v>
      </c>
      <c r="G5" s="5" t="s">
        <v>53</v>
      </c>
      <c r="H5" s="5" t="s">
        <v>55</v>
      </c>
      <c r="I5" s="5" t="s">
        <v>49</v>
      </c>
    </row>
    <row r="6" spans="1:12" ht="15.75" thickBot="1" x14ac:dyDescent="0.3">
      <c r="A6" s="114"/>
      <c r="B6" s="116"/>
      <c r="C6" s="116"/>
      <c r="D6" s="6" t="s">
        <v>50</v>
      </c>
      <c r="E6" s="116"/>
      <c r="F6" s="116"/>
      <c r="G6" s="6" t="s">
        <v>54</v>
      </c>
      <c r="H6" s="6" t="s">
        <v>54</v>
      </c>
      <c r="I6" s="6" t="s">
        <v>56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68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75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65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70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71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67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13" t="s">
        <v>57</v>
      </c>
      <c r="B42" s="115" t="s">
        <v>48</v>
      </c>
      <c r="C42" s="115" t="s">
        <v>76</v>
      </c>
      <c r="D42" s="5" t="s">
        <v>49</v>
      </c>
      <c r="E42" s="117" t="s">
        <v>51</v>
      </c>
      <c r="F42" s="117" t="s">
        <v>52</v>
      </c>
      <c r="G42" s="5" t="s">
        <v>53</v>
      </c>
      <c r="H42" s="5" t="s">
        <v>55</v>
      </c>
      <c r="I42" s="5" t="s">
        <v>49</v>
      </c>
      <c r="K42" s="14"/>
    </row>
    <row r="43" spans="1:11" ht="15.75" thickBot="1" x14ac:dyDescent="0.3">
      <c r="A43" s="114"/>
      <c r="B43" s="116"/>
      <c r="C43" s="116"/>
      <c r="D43" s="6" t="s">
        <v>50</v>
      </c>
      <c r="E43" s="118"/>
      <c r="F43" s="118"/>
      <c r="G43" s="6" t="s">
        <v>54</v>
      </c>
      <c r="H43" s="6" t="s">
        <v>54</v>
      </c>
      <c r="I43" s="6" t="s">
        <v>56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66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1" t="s">
        <v>69</v>
      </c>
      <c r="B65" s="122"/>
      <c r="C65" s="122"/>
      <c r="D65" s="122"/>
      <c r="E65" s="122"/>
      <c r="F65" s="122"/>
      <c r="G65" s="122"/>
      <c r="H65" s="122"/>
      <c r="I65" s="122"/>
    </row>
    <row r="66" spans="1:9" x14ac:dyDescent="0.25">
      <c r="A66" s="121" t="s">
        <v>60</v>
      </c>
      <c r="B66" s="122"/>
      <c r="C66" s="122"/>
      <c r="D66" s="122"/>
      <c r="E66" s="122"/>
      <c r="F66" s="122"/>
      <c r="G66" s="122"/>
      <c r="H66" s="122"/>
      <c r="I66" s="122"/>
    </row>
    <row r="67" spans="1:9" x14ac:dyDescent="0.25">
      <c r="A67" s="123"/>
      <c r="B67" s="123"/>
      <c r="C67" s="123"/>
      <c r="D67" s="123"/>
      <c r="E67" s="123"/>
      <c r="F67" s="123"/>
      <c r="G67" s="123"/>
      <c r="H67" s="123"/>
      <c r="I67" s="123"/>
    </row>
    <row r="68" spans="1:9" x14ac:dyDescent="0.25">
      <c r="A68" s="124" t="s">
        <v>61</v>
      </c>
      <c r="B68" s="124"/>
      <c r="C68" s="124"/>
      <c r="D68" s="124"/>
      <c r="E68" s="124"/>
      <c r="F68" s="124"/>
      <c r="G68" s="124"/>
      <c r="H68" s="124"/>
      <c r="I68" s="124"/>
    </row>
    <row r="69" spans="1:9" x14ac:dyDescent="0.25">
      <c r="A69" s="119" t="s">
        <v>63</v>
      </c>
      <c r="B69" s="119"/>
      <c r="C69" s="119"/>
      <c r="D69" s="119"/>
      <c r="E69" s="119"/>
      <c r="F69" s="119"/>
      <c r="G69" s="119"/>
      <c r="H69" s="119"/>
      <c r="I69" s="119"/>
    </row>
    <row r="70" spans="1:9" x14ac:dyDescent="0.25">
      <c r="A70" s="119" t="s">
        <v>64</v>
      </c>
      <c r="B70" s="119"/>
      <c r="C70" s="119"/>
      <c r="D70" s="119"/>
      <c r="E70" s="119"/>
      <c r="F70" s="119"/>
      <c r="G70" s="119"/>
      <c r="H70" s="119"/>
      <c r="I70" s="119"/>
    </row>
    <row r="71" spans="1:9" x14ac:dyDescent="0.25">
      <c r="A71" s="119" t="s">
        <v>62</v>
      </c>
      <c r="B71" s="119"/>
      <c r="C71" s="119"/>
      <c r="D71" s="119"/>
      <c r="E71" s="119"/>
      <c r="F71" s="119"/>
      <c r="G71" s="119"/>
      <c r="H71" s="119"/>
      <c r="I71" s="119"/>
    </row>
    <row r="72" spans="1:9" x14ac:dyDescent="0.25">
      <c r="A72" s="120"/>
      <c r="B72" s="120"/>
      <c r="C72" s="120"/>
      <c r="D72" s="120"/>
      <c r="E72" s="120"/>
      <c r="F72" s="120"/>
      <c r="G72" s="120"/>
      <c r="H72" s="120"/>
      <c r="I72" s="120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72</v>
      </c>
      <c r="E75" s="19" t="s">
        <v>73</v>
      </c>
      <c r="F75" s="19" t="s">
        <v>52</v>
      </c>
      <c r="G75" s="20"/>
      <c r="H75" s="20"/>
      <c r="I75" s="19" t="s">
        <v>74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2020-12-23T12:44:50Z</dcterms:modified>
</cp:coreProperties>
</file>