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checkCompatibility="1"/>
  <mc:AlternateContent xmlns:mc="http://schemas.openxmlformats.org/markup-compatibility/2006">
    <mc:Choice Requires="x15">
      <x15ac:absPath xmlns:x15ac="http://schemas.microsoft.com/office/spreadsheetml/2010/11/ac" url="\\Srv-fs\dados\User\Contabilidade\DPTO PESSOAL\01 - FOLHA DE PAGAMENTO 2021\PORTAL DA TRANSPARÊNCIA\MENSAL\2021\13 - 13º SALÁRIO\"/>
    </mc:Choice>
  </mc:AlternateContent>
  <xr:revisionPtr revIDLastSave="0" documentId="13_ncr:1_{BCF4102F-DB36-43DD-BFDD-87748268F9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s" sheetId="6" r:id="rId1"/>
  </sheets>
  <definedNames>
    <definedName name="_xlnm.Print_Area" localSheetId="0">mes!$A$1:$L$69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8" i="6" l="1"/>
  <c r="G58" i="6" s="1"/>
  <c r="C45" i="6"/>
  <c r="G45" i="6" s="1"/>
  <c r="C26" i="6"/>
  <c r="C21" i="6"/>
  <c r="G21" i="6" s="1"/>
  <c r="C9" i="6"/>
  <c r="G9" i="6" s="1"/>
  <c r="G8" i="6"/>
  <c r="G10" i="6"/>
  <c r="G11" i="6"/>
  <c r="G12" i="6"/>
  <c r="G13" i="6"/>
  <c r="G16" i="6"/>
  <c r="G17" i="6"/>
  <c r="G18" i="6"/>
  <c r="G20" i="6"/>
  <c r="G23" i="6"/>
  <c r="G24" i="6"/>
  <c r="G25" i="6"/>
  <c r="G26" i="6"/>
  <c r="G27" i="6"/>
  <c r="G28" i="6"/>
  <c r="G29" i="6"/>
  <c r="G31" i="6"/>
  <c r="G32" i="6"/>
  <c r="G33" i="6"/>
  <c r="G38" i="6"/>
  <c r="G39" i="6"/>
  <c r="G41" i="6"/>
  <c r="G42" i="6"/>
  <c r="G44" i="6"/>
  <c r="G46" i="6"/>
  <c r="G48" i="6"/>
  <c r="G49" i="6"/>
  <c r="G51" i="6"/>
  <c r="G52" i="6"/>
  <c r="G54" i="6"/>
  <c r="G55" i="6"/>
  <c r="G57" i="6"/>
  <c r="G59" i="6"/>
  <c r="G7" i="6"/>
  <c r="C30" i="6"/>
  <c r="G30" i="6" s="1"/>
  <c r="C25" i="6"/>
  <c r="D14" i="6"/>
  <c r="C60" i="6" l="1"/>
  <c r="G60" i="6" s="1"/>
  <c r="C56" i="6"/>
  <c r="G56" i="6" s="1"/>
  <c r="C43" i="6"/>
  <c r="G43" i="6" s="1"/>
  <c r="I30" i="6"/>
  <c r="I27" i="6"/>
  <c r="I23" i="6"/>
  <c r="C19" i="6"/>
  <c r="G19" i="6" s="1"/>
  <c r="C34" i="6" l="1"/>
  <c r="G34" i="6" s="1"/>
  <c r="I34" i="6"/>
  <c r="C50" i="6"/>
  <c r="G50" i="6" s="1"/>
  <c r="C36" i="6"/>
  <c r="G36" i="6" s="1"/>
  <c r="C53" i="6"/>
  <c r="G53" i="6" s="1"/>
  <c r="C47" i="6"/>
  <c r="G47" i="6" s="1"/>
  <c r="I46" i="6"/>
  <c r="I45" i="6"/>
  <c r="I43" i="6"/>
  <c r="C40" i="6"/>
  <c r="G40" i="6" s="1"/>
  <c r="I36" i="6"/>
  <c r="C37" i="6"/>
  <c r="G37" i="6" s="1"/>
  <c r="C35" i="6"/>
  <c r="G35" i="6" s="1"/>
  <c r="I31" i="6"/>
  <c r="C22" i="6"/>
  <c r="G22" i="6" s="1"/>
  <c r="C15" i="6"/>
  <c r="G15" i="6" s="1"/>
  <c r="C14" i="6"/>
  <c r="G14" i="6" s="1"/>
  <c r="J55" i="6"/>
  <c r="K55" i="6" s="1"/>
  <c r="L55" i="6" s="1"/>
  <c r="J10" i="6"/>
  <c r="K10" i="6" s="1"/>
  <c r="L10" i="6" s="1"/>
  <c r="J13" i="6" l="1"/>
  <c r="K13" i="6" s="1"/>
  <c r="L13" i="6" s="1"/>
  <c r="J24" i="6"/>
  <c r="K24" i="6" s="1"/>
  <c r="L24" i="6" s="1"/>
  <c r="J58" i="6" l="1"/>
  <c r="K58" i="6" s="1"/>
  <c r="L58" i="6" s="1"/>
  <c r="J59" i="6" l="1"/>
  <c r="K59" i="6" s="1"/>
  <c r="L59" i="6" s="1"/>
  <c r="J18" i="6" l="1"/>
  <c r="K18" i="6" s="1"/>
  <c r="L18" i="6" s="1"/>
  <c r="J32" i="6" l="1"/>
  <c r="K32" i="6" s="1"/>
  <c r="L32" i="6" s="1"/>
  <c r="J9" i="6" l="1"/>
  <c r="K9" i="6" s="1"/>
  <c r="L9" i="6" s="1"/>
  <c r="J38" i="6" l="1"/>
  <c r="K38" i="6" s="1"/>
  <c r="L38" i="6" s="1"/>
  <c r="J52" i="6" l="1"/>
  <c r="K52" i="6" s="1"/>
  <c r="L52" i="6" s="1"/>
  <c r="J25" i="6"/>
  <c r="K25" i="6" s="1"/>
  <c r="L25" i="6" s="1"/>
  <c r="J15" i="6" l="1"/>
  <c r="K15" i="6" s="1"/>
  <c r="L15" i="6" s="1"/>
  <c r="J12" i="6" l="1"/>
  <c r="K12" i="6" s="1"/>
  <c r="L12" i="6" s="1"/>
  <c r="J60" i="6"/>
  <c r="K60" i="6" s="1"/>
  <c r="L60" i="6" s="1"/>
  <c r="J54" i="6"/>
  <c r="K54" i="6" s="1"/>
  <c r="J51" i="6"/>
  <c r="K51" i="6" s="1"/>
  <c r="L51" i="6" s="1"/>
  <c r="J50" i="6"/>
  <c r="K50" i="6" s="1"/>
  <c r="L50" i="6" s="1"/>
  <c r="J49" i="6"/>
  <c r="K49" i="6" s="1"/>
  <c r="J48" i="6"/>
  <c r="K48" i="6" s="1"/>
  <c r="J45" i="6"/>
  <c r="K45" i="6" s="1"/>
  <c r="J44" i="6"/>
  <c r="K44" i="6" s="1"/>
  <c r="J43" i="6"/>
  <c r="K43" i="6" s="1"/>
  <c r="L43" i="6" s="1"/>
  <c r="J40" i="6"/>
  <c r="K40" i="6" s="1"/>
  <c r="L40" i="6" s="1"/>
  <c r="J36" i="6"/>
  <c r="K36" i="6" s="1"/>
  <c r="L36" i="6" s="1"/>
  <c r="J35" i="6"/>
  <c r="K35" i="6" s="1"/>
  <c r="L35" i="6" s="1"/>
  <c r="J34" i="6"/>
  <c r="K34" i="6" s="1"/>
  <c r="L34" i="6" s="1"/>
  <c r="J31" i="6"/>
  <c r="K31" i="6" s="1"/>
  <c r="L31" i="6" s="1"/>
  <c r="J30" i="6"/>
  <c r="K30" i="6" s="1"/>
  <c r="L30" i="6" s="1"/>
  <c r="J29" i="6"/>
  <c r="K29" i="6" s="1"/>
  <c r="L29" i="6" s="1"/>
  <c r="J28" i="6"/>
  <c r="K28" i="6" s="1"/>
  <c r="L28" i="6" s="1"/>
  <c r="J26" i="6"/>
  <c r="K26" i="6" s="1"/>
  <c r="L26" i="6" s="1"/>
  <c r="J23" i="6"/>
  <c r="K23" i="6" s="1"/>
  <c r="L23" i="6" s="1"/>
  <c r="J22" i="6"/>
  <c r="K22" i="6" s="1"/>
  <c r="L22" i="6" s="1"/>
  <c r="J21" i="6"/>
  <c r="K21" i="6" s="1"/>
  <c r="L21" i="6" s="1"/>
  <c r="J19" i="6"/>
  <c r="K19" i="6" s="1"/>
  <c r="L19" i="6" s="1"/>
  <c r="J7" i="6"/>
  <c r="K7" i="6" s="1"/>
  <c r="L7" i="6" s="1"/>
  <c r="J42" i="6" l="1"/>
  <c r="K42" i="6" s="1"/>
  <c r="L42" i="6" s="1"/>
  <c r="J8" i="6"/>
  <c r="J57" i="6"/>
  <c r="K57" i="6" s="1"/>
  <c r="L57" i="6" s="1"/>
  <c r="J16" i="6"/>
  <c r="K16" i="6" s="1"/>
  <c r="L16" i="6" s="1"/>
  <c r="J53" i="6"/>
  <c r="K53" i="6" s="1"/>
  <c r="L53" i="6" s="1"/>
  <c r="J46" i="6"/>
  <c r="K46" i="6" s="1"/>
  <c r="L46" i="6" s="1"/>
  <c r="J47" i="6"/>
  <c r="K47" i="6" s="1"/>
  <c r="L47" i="6" s="1"/>
  <c r="J56" i="6"/>
  <c r="K56" i="6" s="1"/>
  <c r="L56" i="6" s="1"/>
  <c r="J11" i="6"/>
  <c r="K11" i="6" s="1"/>
  <c r="L11" i="6" s="1"/>
  <c r="J33" i="6"/>
  <c r="K33" i="6" s="1"/>
  <c r="L33" i="6" s="1"/>
  <c r="J27" i="6"/>
  <c r="K27" i="6" s="1"/>
  <c r="L27" i="6" s="1"/>
  <c r="J37" i="6"/>
  <c r="K37" i="6" s="1"/>
  <c r="L37" i="6" s="1"/>
  <c r="J41" i="6"/>
  <c r="K41" i="6" s="1"/>
  <c r="L41" i="6" s="1"/>
  <c r="J20" i="6"/>
  <c r="K20" i="6" s="1"/>
  <c r="L20" i="6" s="1"/>
  <c r="J17" i="6"/>
  <c r="K17" i="6" s="1"/>
  <c r="L17" i="6" s="1"/>
  <c r="J14" i="6"/>
  <c r="K14" i="6" s="1"/>
  <c r="L14" i="6" s="1"/>
  <c r="L45" i="6"/>
  <c r="L44" i="6"/>
  <c r="L48" i="6"/>
  <c r="J39" i="6"/>
  <c r="K39" i="6" s="1"/>
  <c r="L39" i="6" s="1"/>
  <c r="L49" i="6"/>
  <c r="L54" i="6"/>
  <c r="K8" i="6" l="1"/>
  <c r="L8" i="6" l="1"/>
</calcChain>
</file>

<file path=xl/sharedStrings.xml><?xml version="1.0" encoding="utf-8"?>
<sst xmlns="http://schemas.openxmlformats.org/spreadsheetml/2006/main" count="80" uniqueCount="78">
  <si>
    <t>ADRIANA IAIZZO MAGALHAES</t>
  </si>
  <si>
    <t>ALBERTO AUGUSTO SPITZ</t>
  </si>
  <si>
    <t>ATILA COLONIA CUNNINGHAM</t>
  </si>
  <si>
    <t>BERNADETE DOS SANTOS GONCALVES</t>
  </si>
  <si>
    <t>CELITA ZAIDOVICZ PALTANIN</t>
  </si>
  <si>
    <t>DIRCEU DE FATIMA ZONATTO</t>
  </si>
  <si>
    <t>ELIZANDRA CARVALHO</t>
  </si>
  <si>
    <t>ELIZE SCHNEIDER DUARTE</t>
  </si>
  <si>
    <t>FABRIZIO GUIMARÃES</t>
  </si>
  <si>
    <t>FLAVIO AUGUSTO FORCELLI</t>
  </si>
  <si>
    <t>GERSON LUIZ BORGES DE MACEDO</t>
  </si>
  <si>
    <t>GILBERTO QUADROS</t>
  </si>
  <si>
    <t>GUILHERME CRISTIANO RIBEIRO</t>
  </si>
  <si>
    <t>JAQUELINE ANDREIA FORNAZARI KOHLER</t>
  </si>
  <si>
    <t>JEFERSON LUIZ LUCASKI</t>
  </si>
  <si>
    <t>JENIFER CORREA CECHETTI</t>
  </si>
  <si>
    <t>JERUZA FERNANDES MOURA BURGES</t>
  </si>
  <si>
    <t>JOAO WARDZINSKI</t>
  </si>
  <si>
    <t>LAURA POTIRA MOREIRA DE SOUZA</t>
  </si>
  <si>
    <t>LUCIANA CRISTINA CORRER</t>
  </si>
  <si>
    <t>LUIZ FELIPE WOLFF</t>
  </si>
  <si>
    <t>MANOEL MARCELINO AMARAL</t>
  </si>
  <si>
    <t>MARCO AURELIO ZELASKOS DE CARVALHO</t>
  </si>
  <si>
    <t>MARCOS EUCLIDES ALVES</t>
  </si>
  <si>
    <t>MARIA DE LOURDES BONINI DE ALMEIDA</t>
  </si>
  <si>
    <t>MARLA CRISTINA VASCONCELLOS MORAES</t>
  </si>
  <si>
    <t>MARTIN NEUFELD</t>
  </si>
  <si>
    <t>MAURICIO OSTROWSKI JUNIOR</t>
  </si>
  <si>
    <t>MICHEL DE MENEZES HIROMOTO</t>
  </si>
  <si>
    <t>NADJA NAYRA BAPTISTA ANDREACCI</t>
  </si>
  <si>
    <t>NEILA APARECIDA COSTENARO PAVELSKI</t>
  </si>
  <si>
    <t>NEILOR ARMOND LOPES</t>
  </si>
  <si>
    <t>RAFAEL MARCOS AMARAL</t>
  </si>
  <si>
    <t>ROGERS SILVA GARCEZ DAS NEVES</t>
  </si>
  <si>
    <t>RONALDO VELOSO DE ALCANTARA</t>
  </si>
  <si>
    <t>ROSANA APARECIDA SILVA CARDOSO</t>
  </si>
  <si>
    <t>VALDAIR DE SOUZA</t>
  </si>
  <si>
    <t>VALMIR CORREA DOS SANTOS</t>
  </si>
  <si>
    <t>WANDERLUCIO DOS SANTOS LEITE</t>
  </si>
  <si>
    <t>Remuneração</t>
  </si>
  <si>
    <t>Total</t>
  </si>
  <si>
    <t>Rendimentos</t>
  </si>
  <si>
    <t>IR</t>
  </si>
  <si>
    <t>INSS</t>
  </si>
  <si>
    <t xml:space="preserve">Outros </t>
  </si>
  <si>
    <t>Descontos</t>
  </si>
  <si>
    <t>Total de</t>
  </si>
  <si>
    <t>Líquido</t>
  </si>
  <si>
    <t>Nome</t>
  </si>
  <si>
    <t>CONSELHO REGIONAL DE CONTABILIDADE DO PARANÁ</t>
  </si>
  <si>
    <t>FOLHA DE PAGAMENTO</t>
  </si>
  <si>
    <t>HELENA YURIKO HASEGAWA TORQUATO</t>
  </si>
  <si>
    <t>RONALD AURELIO KOCHOLIK</t>
  </si>
  <si>
    <t>MARCIA PORDEUS TORRES</t>
  </si>
  <si>
    <t>ALISSON BOBATO DALSANTO</t>
  </si>
  <si>
    <t>KARIN OLIVEIRA SILVA</t>
  </si>
  <si>
    <t>MAIRÊ APARECIDA DAHLEM</t>
  </si>
  <si>
    <t>ERYKA RENATA FERREIRA DE MELLO SENFF MAIA</t>
  </si>
  <si>
    <t>VINICIUS DECONTO GUIMARÃES</t>
  </si>
  <si>
    <t xml:space="preserve">OSMAR RODRIGUES DE MELLO   </t>
  </si>
  <si>
    <t>VICTORIA ROSSINI ANDREIU</t>
  </si>
  <si>
    <t>Gratificações</t>
  </si>
  <si>
    <t>Adiantamento</t>
  </si>
  <si>
    <r>
      <rPr>
        <b/>
        <u/>
        <sz val="11"/>
        <color theme="1"/>
        <rFont val="Calibri"/>
        <family val="2"/>
        <scheme val="minor"/>
      </rPr>
      <t>Remuneração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salário, hora extra, vantagem incorporada ao salário.</t>
    </r>
  </si>
  <si>
    <r>
      <rPr>
        <b/>
        <u/>
        <sz val="11"/>
        <color theme="1"/>
        <rFont val="Calibri"/>
        <family val="2"/>
        <scheme val="minor"/>
      </rPr>
      <t>Gratificações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gratificações inerentes ao exercício de uma especialidade, pelo exercício de função de confiança, pela qualificação e pelo aperfeiçoamento.</t>
    </r>
  </si>
  <si>
    <r>
      <rPr>
        <b/>
        <u/>
        <sz val="11"/>
        <color theme="1"/>
        <rFont val="Calibri"/>
        <family val="2"/>
        <scheme val="minor"/>
      </rPr>
      <t>Auxílios</t>
    </r>
    <r>
      <rPr>
        <sz val="11"/>
        <color theme="1"/>
        <rFont val="Calibri"/>
        <family val="2"/>
        <scheme val="minor"/>
      </rPr>
      <t>: auxílio pós graduação.</t>
    </r>
  </si>
  <si>
    <r>
      <rPr>
        <b/>
        <u/>
        <sz val="11"/>
        <color rgb="FFFF0000"/>
        <rFont val="Calibri"/>
        <family val="2"/>
        <scheme val="minor"/>
      </rPr>
      <t>Descrição dos Campos</t>
    </r>
    <r>
      <rPr>
        <b/>
        <sz val="11"/>
        <color rgb="FFFF0000"/>
        <rFont val="Calibri"/>
        <family val="2"/>
        <scheme val="minor"/>
      </rPr>
      <t>:</t>
    </r>
  </si>
  <si>
    <t>GUSTAVO ELIAS MUENZ</t>
  </si>
  <si>
    <t>CARLOS ALBERTO JUNGLES DE CAMARGO</t>
  </si>
  <si>
    <t>SARA EMMANUELLE MARTINS SCARPETTA</t>
  </si>
  <si>
    <t>ANA PAULA ANBIEL GAIGNER</t>
  </si>
  <si>
    <t>A concessão do vale alimentação e/ou vale refeição aos funcionários do CRCPR é realizada por meio de cartão magnético. O benefício é disponibilizado mensalmente no valor de R$ 49,72 (quarenta e nove reais e setenta e dois centavos)</t>
  </si>
  <si>
    <t>recebidos por 22 dias mensais, descontando do funcionário o percentual de 0,50% (meio por cento) sobre o valor total dos vales fornecidos no período.</t>
  </si>
  <si>
    <r>
      <rPr>
        <b/>
        <u/>
        <sz val="11"/>
        <color theme="1"/>
        <rFont val="Calibri"/>
        <family val="2"/>
        <scheme val="minor"/>
      </rPr>
      <t>Outros descontos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consignação, plano de saúde, alimentação/refeição, vale transporte, pensão alimentícia, entre outros.</t>
    </r>
  </si>
  <si>
    <t xml:space="preserve">IRAN LUIZ CORDEIRO </t>
  </si>
  <si>
    <t>13º SALÁRIO DE 2021</t>
  </si>
  <si>
    <t>Médias</t>
  </si>
  <si>
    <t>1ª parc.13º Salário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</si>
</sst>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,##0.00_ ;\-#,##0.00\ 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71">
    <xf numFmtId="0" fontId="0" fillId="0" borderId="0" xfId="0"/>
    <xf numFmtId="164" fontId="0" fillId="0" borderId="0" xfId="0" applyNumberFormat="1"/>
    <xf numFmtId="164" fontId="0" fillId="0" borderId="3" xfId="0" applyNumberFormat="1" applyFill="1" applyBorder="1"/>
    <xf numFmtId="164" fontId="0" fillId="0" borderId="3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9" fillId="0" borderId="2" xfId="0" applyFont="1" applyBorder="1" applyAlignment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0" fillId="0" borderId="15" xfId="0" applyNumberFormat="1" applyFill="1" applyBorder="1" applyProtection="1">
      <protection locked="0"/>
    </xf>
    <xf numFmtId="164" fontId="0" fillId="0" borderId="15" xfId="0" applyNumberFormat="1" applyFill="1" applyBorder="1"/>
    <xf numFmtId="164" fontId="1" fillId="4" borderId="4" xfId="0" applyNumberFormat="1" applyFont="1" applyFill="1" applyBorder="1"/>
    <xf numFmtId="164" fontId="1" fillId="4" borderId="4" xfId="0" applyNumberFormat="1" applyFont="1" applyFill="1" applyBorder="1" applyProtection="1">
      <protection locked="0"/>
    </xf>
    <xf numFmtId="164" fontId="1" fillId="4" borderId="5" xfId="0" applyNumberFormat="1" applyFont="1" applyFill="1" applyBorder="1" applyProtection="1">
      <protection locked="0"/>
    </xf>
    <xf numFmtId="0" fontId="0" fillId="0" borderId="17" xfId="0" applyBorder="1"/>
    <xf numFmtId="0" fontId="0" fillId="0" borderId="18" xfId="0" applyBorder="1"/>
    <xf numFmtId="164" fontId="1" fillId="2" borderId="20" xfId="0" applyNumberFormat="1" applyFont="1" applyFill="1" applyBorder="1"/>
    <xf numFmtId="164" fontId="1" fillId="2" borderId="21" xfId="0" applyNumberFormat="1" applyFont="1" applyFill="1" applyBorder="1"/>
    <xf numFmtId="0" fontId="1" fillId="3" borderId="16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0" borderId="0" xfId="0" applyFont="1"/>
    <xf numFmtId="44" fontId="1" fillId="3" borderId="0" xfId="1" applyFont="1" applyFill="1" applyProtection="1">
      <protection locked="0"/>
    </xf>
    <xf numFmtId="0" fontId="6" fillId="0" borderId="0" xfId="0" applyFont="1" applyAlignme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164" fontId="1" fillId="0" borderId="3" xfId="0" applyNumberFormat="1" applyFont="1" applyFill="1" applyBorder="1" applyProtection="1">
      <protection locked="0"/>
    </xf>
    <xf numFmtId="164" fontId="1" fillId="0" borderId="24" xfId="0" applyNumberFormat="1" applyFont="1" applyFill="1" applyBorder="1" applyProtection="1">
      <protection locked="0"/>
    </xf>
    <xf numFmtId="164" fontId="1" fillId="0" borderId="15" xfId="0" applyNumberFormat="1" applyFont="1" applyFill="1" applyBorder="1" applyProtection="1">
      <protection locked="0"/>
    </xf>
    <xf numFmtId="164" fontId="1" fillId="0" borderId="3" xfId="0" applyNumberFormat="1" applyFont="1" applyBorder="1" applyProtection="1">
      <protection locked="0"/>
    </xf>
    <xf numFmtId="164" fontId="1" fillId="0" borderId="15" xfId="0" applyNumberFormat="1" applyFont="1" applyBorder="1" applyProtection="1">
      <protection locked="0"/>
    </xf>
    <xf numFmtId="49" fontId="8" fillId="2" borderId="8" xfId="0" applyNumberFormat="1" applyFont="1" applyFill="1" applyBorder="1" applyAlignment="1"/>
    <xf numFmtId="0" fontId="0" fillId="0" borderId="25" xfId="0" applyBorder="1"/>
    <xf numFmtId="164" fontId="1" fillId="4" borderId="26" xfId="0" applyNumberFormat="1" applyFont="1" applyFill="1" applyBorder="1" applyProtection="1">
      <protection locked="0"/>
    </xf>
    <xf numFmtId="164" fontId="1" fillId="0" borderId="24" xfId="0" applyNumberFormat="1" applyFont="1" applyBorder="1" applyProtection="1">
      <protection locked="0"/>
    </xf>
    <xf numFmtId="164" fontId="0" fillId="0" borderId="24" xfId="0" applyNumberFormat="1" applyFill="1" applyBorder="1" applyProtection="1">
      <protection locked="0"/>
    </xf>
    <xf numFmtId="164" fontId="0" fillId="0" borderId="24" xfId="0" applyNumberFormat="1" applyFill="1" applyBorder="1"/>
    <xf numFmtId="164" fontId="1" fillId="2" borderId="27" xfId="0" applyNumberFormat="1" applyFont="1" applyFill="1" applyBorder="1"/>
    <xf numFmtId="0" fontId="1" fillId="3" borderId="22" xfId="0" applyFont="1" applyFill="1" applyBorder="1" applyAlignment="1">
      <alignment vertical="center"/>
    </xf>
    <xf numFmtId="0" fontId="1" fillId="3" borderId="16" xfId="0" applyFont="1" applyFill="1" applyBorder="1" applyAlignment="1">
      <alignment horizontal="center" vertical="center"/>
    </xf>
    <xf numFmtId="0" fontId="0" fillId="4" borderId="13" xfId="0" applyFont="1" applyFill="1" applyBorder="1" applyAlignment="1" applyProtection="1">
      <alignment horizontal="left"/>
      <protection locked="0"/>
    </xf>
    <xf numFmtId="0" fontId="0" fillId="4" borderId="2" xfId="0" applyFont="1" applyFill="1" applyBorder="1" applyAlignment="1" applyProtection="1">
      <alignment horizontal="left"/>
      <protection locked="0"/>
    </xf>
    <xf numFmtId="0" fontId="0" fillId="4" borderId="14" xfId="0" applyFont="1" applyFill="1" applyBorder="1" applyAlignment="1" applyProtection="1">
      <alignment horizontal="left"/>
      <protection locked="0"/>
    </xf>
    <xf numFmtId="0" fontId="0" fillId="4" borderId="11" xfId="0" applyFill="1" applyBorder="1" applyAlignment="1" applyProtection="1">
      <alignment horizontal="left"/>
      <protection locked="0"/>
    </xf>
    <xf numFmtId="0" fontId="0" fillId="4" borderId="0" xfId="0" applyFill="1" applyBorder="1" applyAlignment="1" applyProtection="1">
      <alignment horizontal="left"/>
      <protection locked="0"/>
    </xf>
    <xf numFmtId="0" fontId="0" fillId="4" borderId="12" xfId="0" applyFill="1" applyBorder="1" applyAlignment="1" applyProtection="1">
      <alignment horizontal="left"/>
      <protection locked="0"/>
    </xf>
    <xf numFmtId="0" fontId="12" fillId="4" borderId="11" xfId="0" applyFont="1" applyFill="1" applyBorder="1" applyAlignment="1" applyProtection="1">
      <alignment horizontal="left"/>
      <protection locked="0"/>
    </xf>
    <xf numFmtId="0" fontId="12" fillId="4" borderId="0" xfId="0" applyFont="1" applyFill="1" applyBorder="1" applyAlignment="1" applyProtection="1">
      <alignment horizontal="left"/>
      <protection locked="0"/>
    </xf>
    <xf numFmtId="0" fontId="12" fillId="4" borderId="12" xfId="0" applyFont="1" applyFill="1" applyBorder="1" applyAlignment="1" applyProtection="1">
      <alignment horizontal="left"/>
      <protection locked="0"/>
    </xf>
    <xf numFmtId="0" fontId="0" fillId="4" borderId="11" xfId="0" applyFont="1" applyFill="1" applyBorder="1" applyAlignment="1" applyProtection="1">
      <alignment horizontal="left"/>
      <protection locked="0"/>
    </xf>
    <xf numFmtId="0" fontId="0" fillId="4" borderId="0" xfId="0" applyFont="1" applyFill="1" applyBorder="1" applyAlignment="1" applyProtection="1">
      <alignment horizontal="left"/>
      <protection locked="0"/>
    </xf>
    <xf numFmtId="0" fontId="0" fillId="4" borderId="12" xfId="0" applyFont="1" applyFill="1" applyBorder="1" applyAlignment="1" applyProtection="1">
      <alignment horizontal="left"/>
      <protection locked="0"/>
    </xf>
    <xf numFmtId="0" fontId="4" fillId="4" borderId="9" xfId="0" applyFont="1" applyFill="1" applyBorder="1" applyAlignment="1" applyProtection="1">
      <alignment horizontal="left"/>
      <protection locked="0"/>
    </xf>
    <xf numFmtId="0" fontId="4" fillId="4" borderId="1" xfId="0" applyFont="1" applyFill="1" applyBorder="1" applyAlignment="1" applyProtection="1">
      <alignment horizontal="left"/>
      <protection locked="0"/>
    </xf>
    <xf numFmtId="0" fontId="4" fillId="4" borderId="10" xfId="0" applyFont="1" applyFill="1" applyBorder="1" applyAlignment="1" applyProtection="1">
      <alignment horizontal="left"/>
      <protection locked="0"/>
    </xf>
    <xf numFmtId="0" fontId="0" fillId="0" borderId="0" xfId="0" applyBorder="1" applyAlignment="1">
      <alignment horizontal="center"/>
    </xf>
    <xf numFmtId="0" fontId="4" fillId="4" borderId="11" xfId="0" applyFont="1" applyFill="1" applyBorder="1" applyAlignment="1" applyProtection="1">
      <alignment horizontal="left"/>
      <protection locked="0"/>
    </xf>
    <xf numFmtId="0" fontId="4" fillId="4" borderId="0" xfId="0" applyFont="1" applyFill="1" applyBorder="1" applyAlignment="1" applyProtection="1">
      <alignment horizontal="left"/>
      <protection locked="0"/>
    </xf>
    <xf numFmtId="0" fontId="4" fillId="4" borderId="12" xfId="0" applyFont="1" applyFill="1" applyBorder="1" applyAlignment="1" applyProtection="1">
      <alignment horizontal="left"/>
      <protection locked="0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3" borderId="9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4" borderId="5" xfId="0" applyNumberFormat="1" applyFont="1" applyFill="1" applyBorder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2"/>
  <sheetViews>
    <sheetView tabSelected="1" zoomScaleNormal="100" workbookViewId="0">
      <pane xSplit="2" ySplit="6" topLeftCell="C7" activePane="bottomRight" state="frozen"/>
      <selection pane="topRight" activeCell="B1" sqref="B1"/>
      <selection pane="bottomLeft" activeCell="A7" sqref="A7"/>
      <selection pane="bottomRight" activeCell="R81" sqref="R81"/>
    </sheetView>
  </sheetViews>
  <sheetFormatPr defaultRowHeight="15" outlineLevelCol="1" x14ac:dyDescent="0.25"/>
  <cols>
    <col min="1" max="1" width="3.7109375" customWidth="1"/>
    <col min="2" max="2" width="44.140625" bestFit="1" customWidth="1"/>
    <col min="3" max="3" width="13.28515625" bestFit="1" customWidth="1"/>
    <col min="4" max="4" width="12.5703125" bestFit="1" customWidth="1"/>
    <col min="5" max="5" width="8.140625" bestFit="1" customWidth="1"/>
    <col min="6" max="6" width="17.28515625" bestFit="1" customWidth="1"/>
    <col min="7" max="7" width="12.85546875" bestFit="1" customWidth="1"/>
    <col min="8" max="8" width="10.7109375" bestFit="1" customWidth="1"/>
    <col min="9" max="9" width="10.7109375" customWidth="1"/>
    <col min="10" max="11" width="10.140625" bestFit="1" customWidth="1"/>
    <col min="12" max="12" width="9.5703125" bestFit="1" customWidth="1"/>
    <col min="13" max="13" width="1.42578125" customWidth="1"/>
    <col min="14" max="14" width="15.85546875" hidden="1" customWidth="1" outlineLevel="1"/>
    <col min="15" max="15" width="9.140625" collapsed="1"/>
  </cols>
  <sheetData>
    <row r="1" spans="1:15" ht="16.5" x14ac:dyDescent="0.25">
      <c r="B1" s="60" t="s">
        <v>49</v>
      </c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5" ht="16.5" x14ac:dyDescent="0.25">
      <c r="B2" s="60" t="s">
        <v>50</v>
      </c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5" ht="4.5" customHeight="1" thickBot="1" x14ac:dyDescent="0.3"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</row>
    <row r="4" spans="1:15" ht="19.5" thickBot="1" x14ac:dyDescent="0.35">
      <c r="B4" s="32" t="s">
        <v>75</v>
      </c>
      <c r="C4" s="7"/>
      <c r="D4" s="7"/>
      <c r="E4" s="7"/>
      <c r="F4" s="7"/>
      <c r="G4" s="7"/>
      <c r="H4" s="7"/>
      <c r="I4" s="7"/>
      <c r="J4" s="7"/>
      <c r="K4" s="7"/>
      <c r="L4" s="7"/>
    </row>
    <row r="5" spans="1:15" x14ac:dyDescent="0.25">
      <c r="B5" s="62" t="s">
        <v>48</v>
      </c>
      <c r="C5" s="64" t="s">
        <v>39</v>
      </c>
      <c r="D5" s="68" t="s">
        <v>61</v>
      </c>
      <c r="E5" s="64" t="s">
        <v>76</v>
      </c>
      <c r="F5" s="40" t="s">
        <v>62</v>
      </c>
      <c r="G5" s="19" t="s">
        <v>40</v>
      </c>
      <c r="H5" s="66" t="s">
        <v>42</v>
      </c>
      <c r="I5" s="64" t="s">
        <v>43</v>
      </c>
      <c r="J5" s="19" t="s">
        <v>44</v>
      </c>
      <c r="K5" s="8" t="s">
        <v>46</v>
      </c>
      <c r="L5" s="21" t="s">
        <v>40</v>
      </c>
    </row>
    <row r="6" spans="1:15" ht="15.75" thickBot="1" x14ac:dyDescent="0.3">
      <c r="B6" s="63"/>
      <c r="C6" s="65"/>
      <c r="D6" s="69"/>
      <c r="E6" s="65"/>
      <c r="F6" s="39" t="s">
        <v>77</v>
      </c>
      <c r="G6" s="20" t="s">
        <v>41</v>
      </c>
      <c r="H6" s="67"/>
      <c r="I6" s="65"/>
      <c r="J6" s="20" t="s">
        <v>45</v>
      </c>
      <c r="K6" s="9" t="s">
        <v>45</v>
      </c>
      <c r="L6" s="22" t="s">
        <v>47</v>
      </c>
    </row>
    <row r="7" spans="1:15" x14ac:dyDescent="0.25">
      <c r="A7">
        <v>1</v>
      </c>
      <c r="B7" s="15" t="s">
        <v>0</v>
      </c>
      <c r="C7" s="13">
        <v>5681.8</v>
      </c>
      <c r="D7" s="27"/>
      <c r="E7" s="30"/>
      <c r="F7" s="30">
        <v>-2759.17</v>
      </c>
      <c r="G7" s="12">
        <f>SUM(C7:E7)</f>
        <v>5681.8</v>
      </c>
      <c r="H7" s="3">
        <v>515.28</v>
      </c>
      <c r="I7" s="3">
        <v>646.73</v>
      </c>
      <c r="J7" s="2">
        <f t="shared" ref="J7:J13" si="0">G7-H7-I7-N7</f>
        <v>2759.170000000001</v>
      </c>
      <c r="K7" s="2">
        <f t="shared" ref="K7:K60" si="1">SUM(H7:J7)</f>
        <v>3921.1800000000012</v>
      </c>
      <c r="L7" s="17">
        <f t="shared" ref="L7:L60" si="2">SUM(G7-K7)</f>
        <v>1760.619999999999</v>
      </c>
      <c r="M7" s="23"/>
      <c r="N7" s="24">
        <v>1760.62</v>
      </c>
    </row>
    <row r="8" spans="1:15" x14ac:dyDescent="0.25">
      <c r="A8">
        <v>2</v>
      </c>
      <c r="B8" s="15" t="s">
        <v>1</v>
      </c>
      <c r="C8" s="13">
        <v>2695.36</v>
      </c>
      <c r="D8" s="27"/>
      <c r="E8" s="30"/>
      <c r="F8" s="30">
        <v>-1321.26</v>
      </c>
      <c r="G8" s="12">
        <f t="shared" ref="G8:G60" si="3">SUM(C8:E8)</f>
        <v>2695.36</v>
      </c>
      <c r="H8" s="3">
        <v>27.07</v>
      </c>
      <c r="I8" s="3">
        <v>240.83</v>
      </c>
      <c r="J8" s="2">
        <f t="shared" si="0"/>
        <v>1321.26</v>
      </c>
      <c r="K8" s="2">
        <f t="shared" si="1"/>
        <v>1589.16</v>
      </c>
      <c r="L8" s="17">
        <f t="shared" si="2"/>
        <v>1106.2</v>
      </c>
      <c r="M8" s="23"/>
      <c r="N8" s="24">
        <v>1106.2</v>
      </c>
    </row>
    <row r="9" spans="1:15" x14ac:dyDescent="0.25">
      <c r="A9">
        <v>3</v>
      </c>
      <c r="B9" s="15" t="s">
        <v>54</v>
      </c>
      <c r="C9" s="13">
        <f>2015.88+90.48</f>
        <v>2106.36</v>
      </c>
      <c r="D9" s="27">
        <v>1000</v>
      </c>
      <c r="E9" s="30">
        <v>50</v>
      </c>
      <c r="F9" s="30">
        <v>-1532.83</v>
      </c>
      <c r="G9" s="12">
        <f t="shared" si="3"/>
        <v>3156.36</v>
      </c>
      <c r="H9" s="3">
        <v>74.23</v>
      </c>
      <c r="I9" s="3">
        <v>296.14999999999998</v>
      </c>
      <c r="J9" s="2">
        <f t="shared" si="0"/>
        <v>1532.83</v>
      </c>
      <c r="K9" s="2">
        <f t="shared" si="1"/>
        <v>1903.21</v>
      </c>
      <c r="L9" s="17">
        <f t="shared" si="2"/>
        <v>1253.1500000000001</v>
      </c>
      <c r="M9" s="23"/>
      <c r="N9" s="24">
        <v>1253.1500000000001</v>
      </c>
    </row>
    <row r="10" spans="1:15" x14ac:dyDescent="0.25">
      <c r="A10">
        <v>4</v>
      </c>
      <c r="B10" s="15" t="s">
        <v>70</v>
      </c>
      <c r="C10" s="13">
        <v>2762.25</v>
      </c>
      <c r="D10" s="27">
        <v>552.45000000000005</v>
      </c>
      <c r="E10" s="30"/>
      <c r="F10" s="30">
        <v>-1657.36</v>
      </c>
      <c r="G10" s="12">
        <f t="shared" si="3"/>
        <v>3314.7</v>
      </c>
      <c r="H10" s="3">
        <v>95.11</v>
      </c>
      <c r="I10" s="3">
        <v>315.33</v>
      </c>
      <c r="J10" s="2">
        <f t="shared" ref="J10" si="4">G10-H10-I10-N10</f>
        <v>1657.3599999999997</v>
      </c>
      <c r="K10" s="2">
        <f t="shared" ref="K10" si="5">SUM(H10:J10)</f>
        <v>2067.7999999999997</v>
      </c>
      <c r="L10" s="17">
        <f t="shared" ref="L10" si="6">SUM(G10-K10)</f>
        <v>1246.9000000000001</v>
      </c>
      <c r="M10" s="23"/>
      <c r="N10" s="24">
        <v>1246.9000000000001</v>
      </c>
    </row>
    <row r="11" spans="1:15" x14ac:dyDescent="0.25">
      <c r="A11">
        <v>5</v>
      </c>
      <c r="B11" s="15" t="s">
        <v>2</v>
      </c>
      <c r="C11" s="13">
        <v>2913.19</v>
      </c>
      <c r="D11" s="27"/>
      <c r="E11" s="30"/>
      <c r="F11" s="30">
        <v>-1428.03</v>
      </c>
      <c r="G11" s="12">
        <f t="shared" si="3"/>
        <v>2913.19</v>
      </c>
      <c r="H11" s="3">
        <v>55.67</v>
      </c>
      <c r="I11" s="3">
        <v>266.97000000000003</v>
      </c>
      <c r="J11" s="2">
        <f t="shared" si="0"/>
        <v>1428.0300000000002</v>
      </c>
      <c r="K11" s="2">
        <f t="shared" si="1"/>
        <v>1750.6700000000003</v>
      </c>
      <c r="L11" s="17">
        <f>SUM(G11-K11)</f>
        <v>1162.5199999999998</v>
      </c>
      <c r="M11" s="23"/>
      <c r="N11" s="24">
        <v>1162.52</v>
      </c>
      <c r="O11" s="1"/>
    </row>
    <row r="12" spans="1:15" x14ac:dyDescent="0.25">
      <c r="A12">
        <v>6</v>
      </c>
      <c r="B12" s="15" t="s">
        <v>3</v>
      </c>
      <c r="C12" s="13">
        <v>3911.14</v>
      </c>
      <c r="D12" s="27"/>
      <c r="E12" s="30"/>
      <c r="F12" s="30">
        <v>-1901.89</v>
      </c>
      <c r="G12" s="12">
        <f t="shared" si="3"/>
        <v>3911.14</v>
      </c>
      <c r="H12" s="3">
        <v>143.61000000000001</v>
      </c>
      <c r="I12" s="3">
        <v>398.83</v>
      </c>
      <c r="J12" s="2">
        <f t="shared" si="0"/>
        <v>1901.8899999999999</v>
      </c>
      <c r="K12" s="2">
        <f t="shared" si="1"/>
        <v>2444.33</v>
      </c>
      <c r="L12" s="17">
        <f t="shared" si="2"/>
        <v>1466.81</v>
      </c>
      <c r="M12" s="23"/>
      <c r="N12" s="24">
        <v>1466.81</v>
      </c>
    </row>
    <row r="13" spans="1:15" x14ac:dyDescent="0.25">
      <c r="A13">
        <v>7</v>
      </c>
      <c r="B13" s="15" t="s">
        <v>68</v>
      </c>
      <c r="C13" s="13">
        <v>3107.54</v>
      </c>
      <c r="D13" s="27">
        <v>621.51</v>
      </c>
      <c r="E13" s="30"/>
      <c r="F13" s="30">
        <v>-1864.52</v>
      </c>
      <c r="G13" s="12">
        <f t="shared" si="3"/>
        <v>3729.05</v>
      </c>
      <c r="H13" s="3">
        <v>148.56</v>
      </c>
      <c r="I13" s="3">
        <v>373.34</v>
      </c>
      <c r="J13" s="2">
        <f t="shared" si="0"/>
        <v>1864.52</v>
      </c>
      <c r="K13" s="2">
        <f t="shared" si="1"/>
        <v>2386.42</v>
      </c>
      <c r="L13" s="17">
        <f t="shared" si="2"/>
        <v>1342.63</v>
      </c>
      <c r="M13" s="23"/>
      <c r="N13" s="24">
        <v>1342.63</v>
      </c>
    </row>
    <row r="14" spans="1:15" x14ac:dyDescent="0.25">
      <c r="A14">
        <v>8</v>
      </c>
      <c r="B14" s="15" t="s">
        <v>4</v>
      </c>
      <c r="C14" s="13">
        <f>12373.16+6310.31</f>
        <v>18683.47</v>
      </c>
      <c r="D14" s="27">
        <f>1237.32+4949.26</f>
        <v>6186.58</v>
      </c>
      <c r="E14" s="30">
        <v>62.5</v>
      </c>
      <c r="F14" s="30">
        <v>-11950.61</v>
      </c>
      <c r="G14" s="12">
        <f t="shared" si="3"/>
        <v>24932.550000000003</v>
      </c>
      <c r="H14" s="3">
        <v>5780.3</v>
      </c>
      <c r="I14" s="3">
        <v>751.97</v>
      </c>
      <c r="J14" s="2">
        <f>G14-H14-I14-N14</f>
        <v>11950.610000000002</v>
      </c>
      <c r="K14" s="2">
        <f t="shared" si="1"/>
        <v>18482.880000000005</v>
      </c>
      <c r="L14" s="17">
        <f t="shared" si="2"/>
        <v>6449.6699999999983</v>
      </c>
      <c r="M14" s="23"/>
      <c r="N14" s="24">
        <v>6449.67</v>
      </c>
    </row>
    <row r="15" spans="1:15" x14ac:dyDescent="0.25">
      <c r="A15">
        <v>9</v>
      </c>
      <c r="B15" s="15" t="s">
        <v>5</v>
      </c>
      <c r="C15" s="13">
        <f>12373.16+3810.93</f>
        <v>16184.09</v>
      </c>
      <c r="D15" s="27">
        <v>4949.26</v>
      </c>
      <c r="E15" s="30"/>
      <c r="F15" s="30">
        <v>-10359.5</v>
      </c>
      <c r="G15" s="12">
        <f t="shared" si="3"/>
        <v>21133.35</v>
      </c>
      <c r="H15" s="3">
        <v>4735.5200000000004</v>
      </c>
      <c r="I15" s="3">
        <v>751.97</v>
      </c>
      <c r="J15" s="2">
        <f t="shared" ref="J15:J40" si="7">G15-H15-I15-N15</f>
        <v>10359.5</v>
      </c>
      <c r="K15" s="2">
        <f t="shared" si="1"/>
        <v>15846.990000000002</v>
      </c>
      <c r="L15" s="17">
        <f t="shared" si="2"/>
        <v>5286.3599999999969</v>
      </c>
      <c r="M15" s="23"/>
      <c r="N15" s="24">
        <v>5286.36</v>
      </c>
    </row>
    <row r="16" spans="1:15" x14ac:dyDescent="0.25">
      <c r="A16">
        <v>10</v>
      </c>
      <c r="B16" s="15" t="s">
        <v>6</v>
      </c>
      <c r="C16" s="13">
        <v>2670.44</v>
      </c>
      <c r="D16" s="27"/>
      <c r="E16" s="30"/>
      <c r="F16" s="30">
        <v>-1309.05</v>
      </c>
      <c r="G16" s="12">
        <f t="shared" si="3"/>
        <v>2670.44</v>
      </c>
      <c r="H16" s="3">
        <v>39.64</v>
      </c>
      <c r="I16" s="3">
        <v>237.84</v>
      </c>
      <c r="J16" s="2">
        <f t="shared" si="7"/>
        <v>1309.05</v>
      </c>
      <c r="K16" s="2">
        <f t="shared" si="1"/>
        <v>1586.53</v>
      </c>
      <c r="L16" s="17">
        <f t="shared" si="2"/>
        <v>1083.9100000000001</v>
      </c>
      <c r="M16" s="23"/>
      <c r="N16" s="24">
        <v>1083.9100000000001</v>
      </c>
    </row>
    <row r="17" spans="1:14" x14ac:dyDescent="0.25">
      <c r="A17">
        <v>11</v>
      </c>
      <c r="B17" s="15" t="s">
        <v>7</v>
      </c>
      <c r="C17" s="13">
        <v>2501.96</v>
      </c>
      <c r="D17" s="27"/>
      <c r="E17" s="30"/>
      <c r="F17" s="30">
        <v>-1216.79</v>
      </c>
      <c r="G17" s="12">
        <f t="shared" si="3"/>
        <v>2501.96</v>
      </c>
      <c r="H17" s="3">
        <v>28.53</v>
      </c>
      <c r="I17" s="3">
        <v>217.62</v>
      </c>
      <c r="J17" s="2">
        <f t="shared" si="7"/>
        <v>1216.79</v>
      </c>
      <c r="K17" s="2">
        <f t="shared" si="1"/>
        <v>1462.94</v>
      </c>
      <c r="L17" s="17">
        <f t="shared" si="2"/>
        <v>1039.02</v>
      </c>
      <c r="M17" s="23"/>
      <c r="N17" s="24">
        <v>1039.02</v>
      </c>
    </row>
    <row r="18" spans="1:14" x14ac:dyDescent="0.25">
      <c r="A18">
        <v>12</v>
      </c>
      <c r="B18" s="15" t="s">
        <v>57</v>
      </c>
      <c r="C18" s="13">
        <v>2933.48</v>
      </c>
      <c r="D18" s="27"/>
      <c r="E18" s="30"/>
      <c r="F18" s="30">
        <v>-1437.99</v>
      </c>
      <c r="G18" s="12">
        <f t="shared" si="3"/>
        <v>2933.48</v>
      </c>
      <c r="H18" s="3">
        <v>42.79</v>
      </c>
      <c r="I18" s="3">
        <v>269.41000000000003</v>
      </c>
      <c r="J18" s="2">
        <f t="shared" si="7"/>
        <v>1437.9900000000002</v>
      </c>
      <c r="K18" s="2">
        <f t="shared" si="1"/>
        <v>1750.1900000000003</v>
      </c>
      <c r="L18" s="17">
        <f t="shared" si="2"/>
        <v>1183.2899999999997</v>
      </c>
      <c r="M18" s="23"/>
      <c r="N18" s="24">
        <v>1183.29</v>
      </c>
    </row>
    <row r="19" spans="1:14" x14ac:dyDescent="0.25">
      <c r="A19">
        <v>13</v>
      </c>
      <c r="B19" s="15" t="s">
        <v>8</v>
      </c>
      <c r="C19" s="13">
        <f>5279.58+1108.71</f>
        <v>6388.29</v>
      </c>
      <c r="D19" s="27">
        <v>2111.83</v>
      </c>
      <c r="E19" s="30"/>
      <c r="F19" s="30">
        <v>-4130.49</v>
      </c>
      <c r="G19" s="12">
        <f t="shared" si="3"/>
        <v>8500.119999999999</v>
      </c>
      <c r="H19" s="3">
        <v>1104.97</v>
      </c>
      <c r="I19" s="3">
        <v>751.97</v>
      </c>
      <c r="J19" s="2">
        <f t="shared" si="7"/>
        <v>4130.489999999998</v>
      </c>
      <c r="K19" s="2">
        <f t="shared" si="1"/>
        <v>5987.4299999999985</v>
      </c>
      <c r="L19" s="17">
        <f t="shared" si="2"/>
        <v>2512.6900000000005</v>
      </c>
      <c r="M19" s="23"/>
      <c r="N19" s="24">
        <v>2512.69</v>
      </c>
    </row>
    <row r="20" spans="1:14" x14ac:dyDescent="0.25">
      <c r="A20">
        <v>14</v>
      </c>
      <c r="B20" s="15" t="s">
        <v>9</v>
      </c>
      <c r="C20" s="13">
        <v>2695.17</v>
      </c>
      <c r="D20" s="27"/>
      <c r="E20" s="30"/>
      <c r="F20" s="30">
        <v>-1228.05</v>
      </c>
      <c r="G20" s="12">
        <f t="shared" si="3"/>
        <v>2695.17</v>
      </c>
      <c r="H20" s="3">
        <v>41.28</v>
      </c>
      <c r="I20" s="3">
        <v>240.81</v>
      </c>
      <c r="J20" s="2">
        <f t="shared" si="7"/>
        <v>1228.05</v>
      </c>
      <c r="K20" s="2">
        <f t="shared" si="1"/>
        <v>1510.1399999999999</v>
      </c>
      <c r="L20" s="17">
        <f t="shared" si="2"/>
        <v>1185.0300000000002</v>
      </c>
      <c r="M20" s="23"/>
      <c r="N20" s="24">
        <v>1185.03</v>
      </c>
    </row>
    <row r="21" spans="1:14" x14ac:dyDescent="0.25">
      <c r="A21">
        <v>15</v>
      </c>
      <c r="B21" s="15" t="s">
        <v>10</v>
      </c>
      <c r="C21" s="13">
        <f>13629.26+8007.19</f>
        <v>21636.45</v>
      </c>
      <c r="D21" s="27">
        <v>18399.5</v>
      </c>
      <c r="E21" s="30"/>
      <c r="F21" s="30">
        <v>-19249.91</v>
      </c>
      <c r="G21" s="12">
        <f t="shared" si="3"/>
        <v>40035.949999999997</v>
      </c>
      <c r="H21" s="3">
        <v>9729.51</v>
      </c>
      <c r="I21" s="3">
        <v>751.97</v>
      </c>
      <c r="J21" s="2">
        <f t="shared" si="7"/>
        <v>19992.539999999994</v>
      </c>
      <c r="K21" s="2">
        <f t="shared" si="1"/>
        <v>30474.019999999993</v>
      </c>
      <c r="L21" s="17">
        <f t="shared" si="2"/>
        <v>9561.9300000000039</v>
      </c>
      <c r="M21" s="23"/>
      <c r="N21" s="24">
        <v>9561.93</v>
      </c>
    </row>
    <row r="22" spans="1:14" x14ac:dyDescent="0.25">
      <c r="A22">
        <v>16</v>
      </c>
      <c r="B22" s="15" t="s">
        <v>11</v>
      </c>
      <c r="C22" s="13">
        <f>12373.16+4008.9</f>
        <v>16382.06</v>
      </c>
      <c r="D22" s="27">
        <v>2474.63</v>
      </c>
      <c r="E22" s="30"/>
      <c r="F22" s="30">
        <v>-9243.49</v>
      </c>
      <c r="G22" s="12">
        <f t="shared" si="3"/>
        <v>18856.689999999999</v>
      </c>
      <c r="H22" s="3">
        <v>4057.3</v>
      </c>
      <c r="I22" s="3">
        <v>751.97</v>
      </c>
      <c r="J22" s="2">
        <f t="shared" si="7"/>
        <v>9243.49</v>
      </c>
      <c r="K22" s="2">
        <f t="shared" si="1"/>
        <v>14052.76</v>
      </c>
      <c r="L22" s="17">
        <f t="shared" si="2"/>
        <v>4803.9299999999985</v>
      </c>
      <c r="M22" s="23"/>
      <c r="N22" s="24">
        <v>4803.93</v>
      </c>
    </row>
    <row r="23" spans="1:14" x14ac:dyDescent="0.25">
      <c r="A23">
        <v>17</v>
      </c>
      <c r="B23" s="15" t="s">
        <v>12</v>
      </c>
      <c r="C23" s="13">
        <v>6733</v>
      </c>
      <c r="D23" s="27"/>
      <c r="E23" s="30"/>
      <c r="F23" s="30">
        <v>-3182.15</v>
      </c>
      <c r="G23" s="12">
        <f t="shared" si="3"/>
        <v>6733</v>
      </c>
      <c r="H23" s="3">
        <v>671.15</v>
      </c>
      <c r="I23" s="3">
        <f>633.81+118.16</f>
        <v>751.96999999999991</v>
      </c>
      <c r="J23" s="2">
        <f t="shared" si="7"/>
        <v>3182.15</v>
      </c>
      <c r="K23" s="2">
        <f t="shared" si="1"/>
        <v>4605.2700000000004</v>
      </c>
      <c r="L23" s="17">
        <f t="shared" si="2"/>
        <v>2127.7299999999996</v>
      </c>
      <c r="M23" s="23"/>
      <c r="N23" s="24">
        <v>2127.73</v>
      </c>
    </row>
    <row r="24" spans="1:14" x14ac:dyDescent="0.25">
      <c r="A24">
        <v>18</v>
      </c>
      <c r="B24" s="15" t="s">
        <v>67</v>
      </c>
      <c r="C24" s="13">
        <v>1962.97</v>
      </c>
      <c r="D24" s="27"/>
      <c r="E24" s="30"/>
      <c r="F24" s="30">
        <v>-952.71</v>
      </c>
      <c r="G24" s="12">
        <f t="shared" si="3"/>
        <v>1962.97</v>
      </c>
      <c r="H24" s="3"/>
      <c r="I24" s="3">
        <v>160.16</v>
      </c>
      <c r="J24" s="2">
        <f t="shared" ref="J24" si="8">G24-H24-I24-N24</f>
        <v>952.70999999999992</v>
      </c>
      <c r="K24" s="2">
        <f t="shared" ref="K24" si="9">SUM(H24:J24)</f>
        <v>1112.8699999999999</v>
      </c>
      <c r="L24" s="17">
        <f t="shared" ref="L24" si="10">SUM(G24-K24)</f>
        <v>850.10000000000014</v>
      </c>
      <c r="M24" s="23"/>
      <c r="N24" s="24">
        <v>850.1</v>
      </c>
    </row>
    <row r="25" spans="1:14" x14ac:dyDescent="0.25">
      <c r="A25">
        <v>19</v>
      </c>
      <c r="B25" s="15" t="s">
        <v>51</v>
      </c>
      <c r="C25" s="13">
        <f>3105.42</f>
        <v>3105.42</v>
      </c>
      <c r="D25" s="27"/>
      <c r="E25" s="30">
        <v>57.5</v>
      </c>
      <c r="F25" s="30">
        <v>-1507.63</v>
      </c>
      <c r="G25" s="12">
        <f t="shared" si="3"/>
        <v>3162.92</v>
      </c>
      <c r="H25" s="3">
        <v>75.099999999999994</v>
      </c>
      <c r="I25" s="3">
        <v>296.94</v>
      </c>
      <c r="J25" s="2">
        <f t="shared" si="7"/>
        <v>1507.63</v>
      </c>
      <c r="K25" s="2">
        <f t="shared" si="1"/>
        <v>1879.67</v>
      </c>
      <c r="L25" s="17">
        <f t="shared" si="2"/>
        <v>1283.25</v>
      </c>
      <c r="M25" s="23"/>
      <c r="N25" s="24">
        <v>1283.25</v>
      </c>
    </row>
    <row r="26" spans="1:14" x14ac:dyDescent="0.25">
      <c r="A26">
        <v>20</v>
      </c>
      <c r="B26" s="15" t="s">
        <v>74</v>
      </c>
      <c r="C26" s="13">
        <f>7217.68+2338.53</f>
        <v>9556.2100000000009</v>
      </c>
      <c r="D26" s="27">
        <v>1443.54</v>
      </c>
      <c r="E26" s="30"/>
      <c r="F26" s="30">
        <v>-6162.32</v>
      </c>
      <c r="G26" s="12">
        <f t="shared" si="3"/>
        <v>10999.75</v>
      </c>
      <c r="H26" s="3">
        <v>1896.64</v>
      </c>
      <c r="I26" s="3">
        <v>751.97</v>
      </c>
      <c r="J26" s="2">
        <f t="shared" si="7"/>
        <v>6818.9600000000009</v>
      </c>
      <c r="K26" s="2">
        <f t="shared" si="1"/>
        <v>9467.5700000000015</v>
      </c>
      <c r="L26" s="17">
        <f t="shared" si="2"/>
        <v>1532.1799999999985</v>
      </c>
      <c r="M26" s="23"/>
      <c r="N26" s="24">
        <v>1532.18</v>
      </c>
    </row>
    <row r="27" spans="1:14" x14ac:dyDescent="0.25">
      <c r="A27">
        <v>21</v>
      </c>
      <c r="B27" s="15" t="s">
        <v>13</v>
      </c>
      <c r="C27" s="13">
        <v>7170.91</v>
      </c>
      <c r="D27" s="27"/>
      <c r="E27" s="30"/>
      <c r="F27" s="30">
        <v>-3390.82</v>
      </c>
      <c r="G27" s="12">
        <f t="shared" si="3"/>
        <v>7170.91</v>
      </c>
      <c r="H27" s="3">
        <v>791.57</v>
      </c>
      <c r="I27" s="3">
        <f>682.56+69.41</f>
        <v>751.96999999999991</v>
      </c>
      <c r="J27" s="2">
        <f t="shared" si="7"/>
        <v>3390.8199999999997</v>
      </c>
      <c r="K27" s="2">
        <f t="shared" si="1"/>
        <v>4934.3599999999997</v>
      </c>
      <c r="L27" s="17">
        <f>SUM(G27-K27)</f>
        <v>2236.5500000000002</v>
      </c>
      <c r="M27" s="23"/>
      <c r="N27" s="24">
        <v>2236.5500000000002</v>
      </c>
    </row>
    <row r="28" spans="1:14" x14ac:dyDescent="0.25">
      <c r="A28">
        <v>22</v>
      </c>
      <c r="B28" s="15" t="s">
        <v>14</v>
      </c>
      <c r="C28" s="13">
        <v>7810.09</v>
      </c>
      <c r="D28" s="27"/>
      <c r="E28" s="30"/>
      <c r="F28" s="30">
        <v>-3828.48</v>
      </c>
      <c r="G28" s="12">
        <f t="shared" si="3"/>
        <v>7810.09</v>
      </c>
      <c r="H28" s="3">
        <v>1071.6199999999999</v>
      </c>
      <c r="I28" s="3">
        <v>751.97</v>
      </c>
      <c r="J28" s="2">
        <f t="shared" si="7"/>
        <v>3828.48</v>
      </c>
      <c r="K28" s="2">
        <f t="shared" si="1"/>
        <v>5652.07</v>
      </c>
      <c r="L28" s="17">
        <f t="shared" si="2"/>
        <v>2158.0200000000004</v>
      </c>
      <c r="M28" s="23"/>
      <c r="N28" s="24">
        <v>2158.02</v>
      </c>
    </row>
    <row r="29" spans="1:14" x14ac:dyDescent="0.25">
      <c r="A29">
        <v>23</v>
      </c>
      <c r="B29" s="15" t="s">
        <v>15</v>
      </c>
      <c r="C29" s="13">
        <v>2598.85</v>
      </c>
      <c r="D29" s="27"/>
      <c r="E29" s="30"/>
      <c r="F29" s="30">
        <v>-1273.95</v>
      </c>
      <c r="G29" s="12">
        <f t="shared" si="3"/>
        <v>2598.85</v>
      </c>
      <c r="H29" s="3">
        <v>34.92</v>
      </c>
      <c r="I29" s="3">
        <v>229.25</v>
      </c>
      <c r="J29" s="2">
        <f t="shared" si="7"/>
        <v>1273.9499999999998</v>
      </c>
      <c r="K29" s="2">
        <f t="shared" si="1"/>
        <v>1538.12</v>
      </c>
      <c r="L29" s="17">
        <f t="shared" si="2"/>
        <v>1060.73</v>
      </c>
      <c r="M29" s="23"/>
      <c r="N29" s="24">
        <v>1060.73</v>
      </c>
    </row>
    <row r="30" spans="1:14" x14ac:dyDescent="0.25">
      <c r="A30">
        <v>24</v>
      </c>
      <c r="B30" s="15" t="s">
        <v>16</v>
      </c>
      <c r="C30" s="13">
        <f>4533.48+1162.03</f>
        <v>5695.5099999999993</v>
      </c>
      <c r="D30" s="27">
        <v>1000</v>
      </c>
      <c r="E30" s="30"/>
      <c r="F30" s="30">
        <v>-3203.23</v>
      </c>
      <c r="G30" s="12">
        <f t="shared" si="3"/>
        <v>6695.5099999999993</v>
      </c>
      <c r="H30" s="3">
        <v>660.84</v>
      </c>
      <c r="I30" s="3">
        <f>441.78+310.19</f>
        <v>751.97</v>
      </c>
      <c r="J30" s="2">
        <f t="shared" si="7"/>
        <v>3203.2299999999991</v>
      </c>
      <c r="K30" s="2">
        <f t="shared" si="1"/>
        <v>4616.0399999999991</v>
      </c>
      <c r="L30" s="17">
        <f t="shared" si="2"/>
        <v>2079.4700000000003</v>
      </c>
      <c r="M30" s="23"/>
      <c r="N30" s="24">
        <v>2079.4699999999998</v>
      </c>
    </row>
    <row r="31" spans="1:14" x14ac:dyDescent="0.25">
      <c r="A31">
        <v>25</v>
      </c>
      <c r="B31" s="15" t="s">
        <v>17</v>
      </c>
      <c r="C31" s="13">
        <v>6594.75</v>
      </c>
      <c r="D31" s="27"/>
      <c r="E31" s="30"/>
      <c r="F31" s="30">
        <v>-3208.23</v>
      </c>
      <c r="G31" s="12">
        <f t="shared" si="3"/>
        <v>6594.75</v>
      </c>
      <c r="H31" s="3">
        <v>737.4</v>
      </c>
      <c r="I31" s="3">
        <f>301.83+450.14</f>
        <v>751.97</v>
      </c>
      <c r="J31" s="2">
        <f t="shared" si="7"/>
        <v>3208.23</v>
      </c>
      <c r="K31" s="2">
        <f t="shared" si="1"/>
        <v>4697.6000000000004</v>
      </c>
      <c r="L31" s="17">
        <f t="shared" si="2"/>
        <v>1897.1499999999996</v>
      </c>
      <c r="M31" s="23"/>
      <c r="N31" s="24">
        <v>1897.15</v>
      </c>
    </row>
    <row r="32" spans="1:14" x14ac:dyDescent="0.25">
      <c r="A32">
        <v>26</v>
      </c>
      <c r="B32" s="15" t="s">
        <v>55</v>
      </c>
      <c r="C32" s="13">
        <v>4823.57</v>
      </c>
      <c r="D32" s="27"/>
      <c r="E32" s="30"/>
      <c r="F32" s="30">
        <v>-2364.5</v>
      </c>
      <c r="G32" s="12">
        <f t="shared" si="3"/>
        <v>4823.57</v>
      </c>
      <c r="H32" s="3">
        <v>330.7</v>
      </c>
      <c r="I32" s="3">
        <v>526.57000000000005</v>
      </c>
      <c r="J32" s="2">
        <f t="shared" ref="J32" si="11">G32-H32-I32-N32</f>
        <v>2364.5</v>
      </c>
      <c r="K32" s="2">
        <f t="shared" ref="K32" si="12">SUM(H32:J32)</f>
        <v>3221.77</v>
      </c>
      <c r="L32" s="17">
        <f>SUM(G32-K32)</f>
        <v>1601.7999999999997</v>
      </c>
      <c r="M32" s="23"/>
      <c r="N32" s="24">
        <v>1601.8</v>
      </c>
    </row>
    <row r="33" spans="1:14" x14ac:dyDescent="0.25">
      <c r="A33">
        <v>27</v>
      </c>
      <c r="B33" s="15" t="s">
        <v>18</v>
      </c>
      <c r="C33" s="13">
        <v>2307</v>
      </c>
      <c r="D33" s="27"/>
      <c r="E33" s="30"/>
      <c r="F33" s="30">
        <v>-1040.1400000000001</v>
      </c>
      <c r="G33" s="12">
        <f t="shared" si="3"/>
        <v>2307</v>
      </c>
      <c r="H33" s="3">
        <v>15.66</v>
      </c>
      <c r="I33" s="3">
        <v>194.23</v>
      </c>
      <c r="J33" s="2">
        <f t="shared" si="7"/>
        <v>1040.1400000000001</v>
      </c>
      <c r="K33" s="2">
        <f t="shared" si="1"/>
        <v>1250.0300000000002</v>
      </c>
      <c r="L33" s="17">
        <f>SUM(G33-K33)</f>
        <v>1056.9699999999998</v>
      </c>
      <c r="M33" s="23"/>
      <c r="N33" s="24">
        <v>1056.97</v>
      </c>
    </row>
    <row r="34" spans="1:14" x14ac:dyDescent="0.25">
      <c r="A34">
        <v>28</v>
      </c>
      <c r="B34" s="15" t="s">
        <v>19</v>
      </c>
      <c r="C34" s="13">
        <f>5274.51+822.82</f>
        <v>6097.33</v>
      </c>
      <c r="D34" s="27">
        <v>1054.9000000000001</v>
      </c>
      <c r="E34" s="30"/>
      <c r="F34" s="30">
        <v>-3374.18</v>
      </c>
      <c r="G34" s="12">
        <f t="shared" si="3"/>
        <v>7152.23</v>
      </c>
      <c r="H34" s="3">
        <v>890.71</v>
      </c>
      <c r="I34" s="3">
        <f>676.05+75.92</f>
        <v>751.96999999999991</v>
      </c>
      <c r="J34" s="2">
        <f t="shared" si="7"/>
        <v>3374.1799999999994</v>
      </c>
      <c r="K34" s="2">
        <f t="shared" si="1"/>
        <v>5016.8599999999988</v>
      </c>
      <c r="L34" s="17">
        <f t="shared" si="2"/>
        <v>2135.3700000000008</v>
      </c>
      <c r="M34" s="23"/>
      <c r="N34" s="24">
        <v>2135.37</v>
      </c>
    </row>
    <row r="35" spans="1:14" x14ac:dyDescent="0.25">
      <c r="A35">
        <v>29</v>
      </c>
      <c r="B35" s="15" t="s">
        <v>20</v>
      </c>
      <c r="C35" s="13">
        <f>12373.16+3711.95</f>
        <v>16085.11</v>
      </c>
      <c r="D35" s="27">
        <v>2474.63</v>
      </c>
      <c r="E35" s="30"/>
      <c r="F35" s="30">
        <v>-9097.93</v>
      </c>
      <c r="G35" s="12">
        <f t="shared" si="3"/>
        <v>18559.740000000002</v>
      </c>
      <c r="H35" s="3">
        <v>3975.64</v>
      </c>
      <c r="I35" s="3">
        <v>751.97</v>
      </c>
      <c r="J35" s="2">
        <f t="shared" si="7"/>
        <v>9097.9300000000039</v>
      </c>
      <c r="K35" s="2">
        <f t="shared" si="1"/>
        <v>13825.540000000005</v>
      </c>
      <c r="L35" s="17">
        <f t="shared" si="2"/>
        <v>4734.1999999999971</v>
      </c>
      <c r="M35" s="23"/>
      <c r="N35" s="24">
        <v>4734.2</v>
      </c>
    </row>
    <row r="36" spans="1:14" x14ac:dyDescent="0.25">
      <c r="A36">
        <v>30</v>
      </c>
      <c r="B36" s="15" t="s">
        <v>56</v>
      </c>
      <c r="C36" s="13">
        <f>5179.07+683.64</f>
        <v>5862.71</v>
      </c>
      <c r="D36" s="27">
        <v>1035.81</v>
      </c>
      <c r="E36" s="30"/>
      <c r="F36" s="30">
        <v>-3281.73</v>
      </c>
      <c r="G36" s="12">
        <f t="shared" si="3"/>
        <v>6898.52</v>
      </c>
      <c r="H36" s="3">
        <v>820.94</v>
      </c>
      <c r="I36" s="3">
        <f>311.54+440.43</f>
        <v>751.97</v>
      </c>
      <c r="J36" s="2">
        <f t="shared" si="7"/>
        <v>3281.7299999999996</v>
      </c>
      <c r="K36" s="2">
        <f t="shared" si="1"/>
        <v>4854.6399999999994</v>
      </c>
      <c r="L36" s="17">
        <f t="shared" si="2"/>
        <v>2043.880000000001</v>
      </c>
      <c r="M36" s="23"/>
      <c r="N36" s="24">
        <v>2043.88</v>
      </c>
    </row>
    <row r="37" spans="1:14" x14ac:dyDescent="0.25">
      <c r="A37">
        <v>31</v>
      </c>
      <c r="B37" s="15" t="s">
        <v>21</v>
      </c>
      <c r="C37" s="13">
        <f>4903.8+411.92</f>
        <v>5315.72</v>
      </c>
      <c r="D37" s="27">
        <v>980.76</v>
      </c>
      <c r="E37" s="30"/>
      <c r="F37" s="30">
        <v>-3086.5</v>
      </c>
      <c r="G37" s="12">
        <f t="shared" si="3"/>
        <v>6296.4800000000005</v>
      </c>
      <c r="H37" s="3">
        <v>556.38</v>
      </c>
      <c r="I37" s="3">
        <v>732.78</v>
      </c>
      <c r="J37" s="2">
        <f t="shared" si="7"/>
        <v>3086.5000000000009</v>
      </c>
      <c r="K37" s="2">
        <f t="shared" si="1"/>
        <v>4375.6600000000008</v>
      </c>
      <c r="L37" s="17">
        <f>SUM(G37-K37)</f>
        <v>1920.8199999999997</v>
      </c>
      <c r="M37" s="23"/>
      <c r="N37" s="24">
        <v>1920.82</v>
      </c>
    </row>
    <row r="38" spans="1:14" x14ac:dyDescent="0.25">
      <c r="A38">
        <v>32</v>
      </c>
      <c r="B38" s="15" t="s">
        <v>53</v>
      </c>
      <c r="C38" s="13">
        <v>2096.52</v>
      </c>
      <c r="D38" s="27"/>
      <c r="E38" s="30"/>
      <c r="F38" s="30">
        <v>-1017.83</v>
      </c>
      <c r="G38" s="12">
        <f t="shared" si="3"/>
        <v>2096.52</v>
      </c>
      <c r="H38" s="3"/>
      <c r="I38" s="3">
        <v>172.18</v>
      </c>
      <c r="J38" s="2">
        <f t="shared" ref="J38" si="13">G38-H38-I38-N38</f>
        <v>1017.8299999999999</v>
      </c>
      <c r="K38" s="2">
        <f t="shared" ref="K38" si="14">SUM(H38:J38)</f>
        <v>1190.01</v>
      </c>
      <c r="L38" s="17">
        <f t="shared" ref="L38" si="15">SUM(G38-K38)</f>
        <v>906.51</v>
      </c>
      <c r="M38" s="23"/>
      <c r="N38" s="24">
        <v>906.51</v>
      </c>
    </row>
    <row r="39" spans="1:14" x14ac:dyDescent="0.25">
      <c r="A39">
        <v>33</v>
      </c>
      <c r="B39" s="15" t="s">
        <v>22</v>
      </c>
      <c r="C39" s="13">
        <v>3274.89</v>
      </c>
      <c r="D39" s="27"/>
      <c r="E39" s="30"/>
      <c r="F39" s="30">
        <v>-1605.34</v>
      </c>
      <c r="G39" s="12">
        <f t="shared" si="3"/>
        <v>3274.89</v>
      </c>
      <c r="H39" s="3">
        <v>89.88</v>
      </c>
      <c r="I39" s="3">
        <v>310.37</v>
      </c>
      <c r="J39" s="2">
        <f t="shared" si="7"/>
        <v>1605.34</v>
      </c>
      <c r="K39" s="2">
        <f t="shared" si="1"/>
        <v>2005.59</v>
      </c>
      <c r="L39" s="17">
        <f t="shared" si="2"/>
        <v>1269.3</v>
      </c>
      <c r="M39" s="23"/>
      <c r="N39" s="24">
        <v>1269.3</v>
      </c>
    </row>
    <row r="40" spans="1:14" x14ac:dyDescent="0.25">
      <c r="A40">
        <v>34</v>
      </c>
      <c r="B40" s="15" t="s">
        <v>23</v>
      </c>
      <c r="C40" s="13">
        <f>12373.16+3860.43</f>
        <v>16233.59</v>
      </c>
      <c r="D40" s="27">
        <v>2474.63</v>
      </c>
      <c r="E40" s="30"/>
      <c r="F40" s="30">
        <v>-8985.43</v>
      </c>
      <c r="G40" s="12">
        <f t="shared" si="3"/>
        <v>18708.22</v>
      </c>
      <c r="H40" s="3">
        <v>3964.33</v>
      </c>
      <c r="I40" s="3">
        <v>751.97</v>
      </c>
      <c r="J40" s="2">
        <f t="shared" si="7"/>
        <v>8985.4300000000021</v>
      </c>
      <c r="K40" s="2">
        <f t="shared" si="1"/>
        <v>13701.730000000003</v>
      </c>
      <c r="L40" s="17">
        <f t="shared" si="2"/>
        <v>5006.489999999998</v>
      </c>
      <c r="M40" s="23"/>
      <c r="N40" s="24">
        <v>5006.49</v>
      </c>
    </row>
    <row r="41" spans="1:14" x14ac:dyDescent="0.25">
      <c r="A41">
        <v>35</v>
      </c>
      <c r="B41" s="33" t="s">
        <v>24</v>
      </c>
      <c r="C41" s="34">
        <v>2301.0500000000002</v>
      </c>
      <c r="D41" s="28"/>
      <c r="E41" s="35"/>
      <c r="F41" s="35">
        <v>-1117.9000000000001</v>
      </c>
      <c r="G41" s="12">
        <f t="shared" si="3"/>
        <v>2301.0500000000002</v>
      </c>
      <c r="H41" s="36">
        <v>15.27</v>
      </c>
      <c r="I41" s="36">
        <v>193.51</v>
      </c>
      <c r="J41" s="37">
        <f t="shared" ref="J41:J60" si="16">G41-H41-I41-N41</f>
        <v>1117.9000000000005</v>
      </c>
      <c r="K41" s="37">
        <f t="shared" si="1"/>
        <v>1326.6800000000005</v>
      </c>
      <c r="L41" s="38">
        <f t="shared" si="2"/>
        <v>974.36999999999966</v>
      </c>
      <c r="M41" s="23"/>
      <c r="N41" s="24">
        <v>974.37</v>
      </c>
    </row>
    <row r="42" spans="1:14" x14ac:dyDescent="0.25">
      <c r="A42">
        <v>36</v>
      </c>
      <c r="B42" s="15" t="s">
        <v>25</v>
      </c>
      <c r="C42" s="13">
        <v>4532.01</v>
      </c>
      <c r="D42" s="27"/>
      <c r="E42" s="30">
        <v>8.33</v>
      </c>
      <c r="F42" s="30">
        <v>-2203.36</v>
      </c>
      <c r="G42" s="12">
        <f t="shared" si="3"/>
        <v>4540.34</v>
      </c>
      <c r="H42" s="3">
        <v>275.89</v>
      </c>
      <c r="I42" s="3">
        <v>186.92</v>
      </c>
      <c r="J42" s="2">
        <f t="shared" si="16"/>
        <v>2503.3599999999997</v>
      </c>
      <c r="K42" s="2">
        <f t="shared" si="1"/>
        <v>2966.1699999999996</v>
      </c>
      <c r="L42" s="17">
        <f t="shared" si="2"/>
        <v>1574.1700000000005</v>
      </c>
      <c r="M42" s="23"/>
      <c r="N42" s="24">
        <v>1574.17</v>
      </c>
    </row>
    <row r="43" spans="1:14" x14ac:dyDescent="0.25">
      <c r="A43">
        <v>37</v>
      </c>
      <c r="B43" s="15" t="s">
        <v>26</v>
      </c>
      <c r="C43" s="13">
        <f>8168.7+1225.31</f>
        <v>9394.01</v>
      </c>
      <c r="D43" s="27"/>
      <c r="E43" s="30"/>
      <c r="F43" s="30">
        <v>-4564.87</v>
      </c>
      <c r="G43" s="12">
        <f t="shared" si="3"/>
        <v>9394.01</v>
      </c>
      <c r="H43" s="3">
        <v>1455.06</v>
      </c>
      <c r="I43" s="3">
        <f>585.88+166.09</f>
        <v>751.97</v>
      </c>
      <c r="J43" s="2">
        <f t="shared" si="16"/>
        <v>4564.8700000000008</v>
      </c>
      <c r="K43" s="2">
        <f t="shared" si="1"/>
        <v>6771.9000000000005</v>
      </c>
      <c r="L43" s="17">
        <f t="shared" si="2"/>
        <v>2622.1099999999997</v>
      </c>
      <c r="M43" s="23"/>
      <c r="N43" s="24">
        <v>2622.11</v>
      </c>
    </row>
    <row r="44" spans="1:14" x14ac:dyDescent="0.25">
      <c r="A44">
        <v>38</v>
      </c>
      <c r="B44" s="15" t="s">
        <v>27</v>
      </c>
      <c r="C44" s="13">
        <v>8433.84</v>
      </c>
      <c r="D44" s="27">
        <v>6000</v>
      </c>
      <c r="E44" s="30">
        <v>62.5</v>
      </c>
      <c r="F44" s="30">
        <v>-7091.75</v>
      </c>
      <c r="G44" s="12">
        <f t="shared" si="3"/>
        <v>14496.34</v>
      </c>
      <c r="H44" s="3">
        <v>2858.2</v>
      </c>
      <c r="I44" s="3">
        <v>751.97</v>
      </c>
      <c r="J44" s="2">
        <f>G44-H44-I44-N44</f>
        <v>7091.75</v>
      </c>
      <c r="K44" s="2">
        <f>SUM(H44:J44)</f>
        <v>10701.92</v>
      </c>
      <c r="L44" s="17">
        <f t="shared" si="2"/>
        <v>3794.42</v>
      </c>
      <c r="M44" s="23"/>
      <c r="N44" s="24">
        <v>3794.42</v>
      </c>
    </row>
    <row r="45" spans="1:14" x14ac:dyDescent="0.25">
      <c r="A45">
        <v>39</v>
      </c>
      <c r="B45" s="15" t="s">
        <v>28</v>
      </c>
      <c r="C45" s="13">
        <f>5179.07+932.23</f>
        <v>6111.2999999999993</v>
      </c>
      <c r="D45" s="27">
        <v>1035.81</v>
      </c>
      <c r="E45" s="30"/>
      <c r="F45" s="30">
        <v>-3370.42</v>
      </c>
      <c r="G45" s="12">
        <f t="shared" si="3"/>
        <v>7147.1099999999988</v>
      </c>
      <c r="H45" s="3">
        <v>785.03</v>
      </c>
      <c r="I45" s="3">
        <f>629.55+122.42</f>
        <v>751.96999999999991</v>
      </c>
      <c r="J45" s="2">
        <f t="shared" si="16"/>
        <v>3370.4199999999987</v>
      </c>
      <c r="K45" s="2">
        <f t="shared" si="1"/>
        <v>4907.4199999999983</v>
      </c>
      <c r="L45" s="17">
        <f t="shared" si="2"/>
        <v>2239.6900000000005</v>
      </c>
      <c r="M45" s="23"/>
      <c r="N45" s="24">
        <v>2239.69</v>
      </c>
    </row>
    <row r="46" spans="1:14" x14ac:dyDescent="0.25">
      <c r="A46">
        <v>40</v>
      </c>
      <c r="B46" s="15" t="s">
        <v>29</v>
      </c>
      <c r="C46" s="13">
        <v>7265.47</v>
      </c>
      <c r="D46" s="27"/>
      <c r="E46" s="30"/>
      <c r="F46" s="30">
        <v>-3465.51</v>
      </c>
      <c r="G46" s="12">
        <f t="shared" si="3"/>
        <v>7265.47</v>
      </c>
      <c r="H46" s="3">
        <v>869.72</v>
      </c>
      <c r="I46" s="3">
        <f>235.88+516.09</f>
        <v>751.97</v>
      </c>
      <c r="J46" s="2">
        <f t="shared" si="16"/>
        <v>3465.5099999999998</v>
      </c>
      <c r="K46" s="2">
        <f t="shared" si="1"/>
        <v>5087.2</v>
      </c>
      <c r="L46" s="17">
        <f>SUM(G46-K46)</f>
        <v>2178.2700000000004</v>
      </c>
      <c r="M46" s="23"/>
      <c r="N46" s="24">
        <v>2178.27</v>
      </c>
    </row>
    <row r="47" spans="1:14" x14ac:dyDescent="0.25">
      <c r="A47">
        <v>41</v>
      </c>
      <c r="B47" s="15" t="s">
        <v>30</v>
      </c>
      <c r="C47" s="13">
        <f>5179.07+683.64</f>
        <v>5862.71</v>
      </c>
      <c r="D47" s="27">
        <v>1035.81</v>
      </c>
      <c r="E47" s="30"/>
      <c r="F47" s="30">
        <v>-3281.73</v>
      </c>
      <c r="G47" s="12">
        <f t="shared" si="3"/>
        <v>6898.52</v>
      </c>
      <c r="H47" s="3">
        <v>768.8</v>
      </c>
      <c r="I47" s="3">
        <v>751.97</v>
      </c>
      <c r="J47" s="2">
        <f t="shared" si="16"/>
        <v>3281.73</v>
      </c>
      <c r="K47" s="2">
        <f t="shared" si="1"/>
        <v>4802.5</v>
      </c>
      <c r="L47" s="17">
        <f>SUM(G47-K47)</f>
        <v>2096.0200000000004</v>
      </c>
      <c r="M47" s="23"/>
      <c r="N47" s="24">
        <v>2096.02</v>
      </c>
    </row>
    <row r="48" spans="1:14" x14ac:dyDescent="0.25">
      <c r="A48">
        <v>42</v>
      </c>
      <c r="B48" s="15" t="s">
        <v>31</v>
      </c>
      <c r="C48" s="13">
        <v>4476.88</v>
      </c>
      <c r="D48" s="27"/>
      <c r="E48" s="30"/>
      <c r="F48" s="30">
        <v>-2194.5500000000002</v>
      </c>
      <c r="G48" s="12">
        <f t="shared" si="3"/>
        <v>4476.88</v>
      </c>
      <c r="H48" s="3">
        <v>188.15</v>
      </c>
      <c r="I48" s="3">
        <v>478.04</v>
      </c>
      <c r="J48" s="2">
        <f t="shared" si="16"/>
        <v>2194.5500000000002</v>
      </c>
      <c r="K48" s="2">
        <f t="shared" si="1"/>
        <v>2860.7400000000002</v>
      </c>
      <c r="L48" s="17">
        <f t="shared" si="2"/>
        <v>1616.1399999999999</v>
      </c>
      <c r="M48" s="23"/>
      <c r="N48" s="24">
        <v>1616.14</v>
      </c>
    </row>
    <row r="49" spans="1:14" x14ac:dyDescent="0.25">
      <c r="A49">
        <v>43</v>
      </c>
      <c r="B49" s="15" t="s">
        <v>59</v>
      </c>
      <c r="C49" s="13">
        <v>2670.44</v>
      </c>
      <c r="D49" s="27"/>
      <c r="E49" s="30"/>
      <c r="F49" s="30">
        <v>-1309.05</v>
      </c>
      <c r="G49" s="12">
        <f t="shared" si="3"/>
        <v>2670.44</v>
      </c>
      <c r="H49" s="3">
        <v>39.64</v>
      </c>
      <c r="I49" s="3">
        <v>237.84</v>
      </c>
      <c r="J49" s="2">
        <f t="shared" si="16"/>
        <v>1309.05</v>
      </c>
      <c r="K49" s="2">
        <f t="shared" si="1"/>
        <v>1586.53</v>
      </c>
      <c r="L49" s="17">
        <f t="shared" si="2"/>
        <v>1083.9100000000001</v>
      </c>
      <c r="M49" s="23"/>
      <c r="N49" s="24">
        <v>1083.9100000000001</v>
      </c>
    </row>
    <row r="50" spans="1:14" x14ac:dyDescent="0.25">
      <c r="A50">
        <v>44</v>
      </c>
      <c r="B50" s="15" t="s">
        <v>32</v>
      </c>
      <c r="C50" s="13">
        <f>5179.07+807.93</f>
        <v>5987</v>
      </c>
      <c r="D50" s="27">
        <v>1035.81</v>
      </c>
      <c r="E50" s="30"/>
      <c r="F50" s="30">
        <v>-3311.29</v>
      </c>
      <c r="G50" s="12">
        <f t="shared" si="3"/>
        <v>7022.8099999999995</v>
      </c>
      <c r="H50" s="3">
        <v>802.98</v>
      </c>
      <c r="I50" s="3">
        <v>751.97</v>
      </c>
      <c r="J50" s="2">
        <f t="shared" si="16"/>
        <v>3311.2899999999995</v>
      </c>
      <c r="K50" s="2">
        <f t="shared" si="1"/>
        <v>4866.24</v>
      </c>
      <c r="L50" s="17">
        <f t="shared" si="2"/>
        <v>2156.5699999999997</v>
      </c>
      <c r="M50" s="23"/>
      <c r="N50" s="24">
        <v>2156.5700000000002</v>
      </c>
    </row>
    <row r="51" spans="1:14" x14ac:dyDescent="0.25">
      <c r="A51">
        <v>45</v>
      </c>
      <c r="B51" s="15" t="s">
        <v>33</v>
      </c>
      <c r="C51" s="13">
        <v>5844.91</v>
      </c>
      <c r="D51" s="27"/>
      <c r="E51" s="30"/>
      <c r="F51" s="30">
        <v>-2838.87</v>
      </c>
      <c r="G51" s="12">
        <f t="shared" si="3"/>
        <v>5844.91</v>
      </c>
      <c r="H51" s="3">
        <v>501.72</v>
      </c>
      <c r="I51" s="3">
        <v>669.56</v>
      </c>
      <c r="J51" s="2">
        <f t="shared" si="16"/>
        <v>2838.869999999999</v>
      </c>
      <c r="K51" s="2">
        <f t="shared" si="1"/>
        <v>4010.1499999999987</v>
      </c>
      <c r="L51" s="17">
        <f t="shared" si="2"/>
        <v>1834.7600000000011</v>
      </c>
      <c r="M51" s="23"/>
      <c r="N51" s="24">
        <v>1834.76</v>
      </c>
    </row>
    <row r="52" spans="1:14" x14ac:dyDescent="0.25">
      <c r="A52">
        <v>46</v>
      </c>
      <c r="B52" s="15" t="s">
        <v>52</v>
      </c>
      <c r="C52" s="13">
        <v>2096.52</v>
      </c>
      <c r="D52" s="27"/>
      <c r="E52" s="30"/>
      <c r="F52" s="30">
        <v>-1017.83</v>
      </c>
      <c r="G52" s="12">
        <f t="shared" si="3"/>
        <v>2096.52</v>
      </c>
      <c r="H52" s="3"/>
      <c r="I52" s="3">
        <v>172.18</v>
      </c>
      <c r="J52" s="2">
        <f t="shared" ref="J52" si="17">G52-H52-I52-N52</f>
        <v>1017.8299999999999</v>
      </c>
      <c r="K52" s="2">
        <f t="shared" ref="K52" si="18">SUM(H52:J52)</f>
        <v>1190.01</v>
      </c>
      <c r="L52" s="17">
        <f t="shared" ref="L52" si="19">SUM(G52-K52)</f>
        <v>906.51</v>
      </c>
      <c r="M52" s="23"/>
      <c r="N52" s="24">
        <v>906.51</v>
      </c>
    </row>
    <row r="53" spans="1:14" x14ac:dyDescent="0.25">
      <c r="A53">
        <v>47</v>
      </c>
      <c r="B53" s="15" t="s">
        <v>34</v>
      </c>
      <c r="C53" s="13">
        <f>12373.16+4305.86</f>
        <v>16679.02</v>
      </c>
      <c r="D53" s="27">
        <v>2474.63</v>
      </c>
      <c r="E53" s="30"/>
      <c r="F53" s="30">
        <v>-9201.08</v>
      </c>
      <c r="G53" s="12">
        <f t="shared" si="3"/>
        <v>19153.650000000001</v>
      </c>
      <c r="H53" s="3">
        <v>4191.1000000000004</v>
      </c>
      <c r="I53" s="3">
        <v>751.97</v>
      </c>
      <c r="J53" s="2">
        <f t="shared" si="16"/>
        <v>9201.0800000000017</v>
      </c>
      <c r="K53" s="2">
        <f t="shared" si="1"/>
        <v>14144.150000000001</v>
      </c>
      <c r="L53" s="17">
        <f>SUM(G53-K53)</f>
        <v>5009.5</v>
      </c>
      <c r="M53" s="23"/>
      <c r="N53" s="24">
        <v>5009.5</v>
      </c>
    </row>
    <row r="54" spans="1:14" x14ac:dyDescent="0.25">
      <c r="A54">
        <v>48</v>
      </c>
      <c r="B54" s="15" t="s">
        <v>35</v>
      </c>
      <c r="C54" s="13">
        <v>2398.5500000000002</v>
      </c>
      <c r="D54" s="27"/>
      <c r="E54" s="30"/>
      <c r="F54" s="30">
        <v>-1165.54</v>
      </c>
      <c r="G54" s="12">
        <f t="shared" si="3"/>
        <v>2398.5500000000002</v>
      </c>
      <c r="H54" s="3">
        <v>21.7</v>
      </c>
      <c r="I54" s="3">
        <v>205.21</v>
      </c>
      <c r="J54" s="2">
        <f t="shared" si="16"/>
        <v>1165.5400000000004</v>
      </c>
      <c r="K54" s="2">
        <f t="shared" si="1"/>
        <v>1392.4500000000005</v>
      </c>
      <c r="L54" s="17">
        <f t="shared" si="2"/>
        <v>1006.0999999999997</v>
      </c>
      <c r="M54" s="23"/>
      <c r="N54" s="24">
        <v>1006.1</v>
      </c>
    </row>
    <row r="55" spans="1:14" x14ac:dyDescent="0.25">
      <c r="A55">
        <v>49</v>
      </c>
      <c r="B55" s="15" t="s">
        <v>69</v>
      </c>
      <c r="C55" s="13">
        <v>2114.6799999999998</v>
      </c>
      <c r="D55" s="27"/>
      <c r="E55" s="30"/>
      <c r="F55" s="30">
        <v>-1057.3399999999999</v>
      </c>
      <c r="G55" s="12">
        <f t="shared" si="3"/>
        <v>2114.6799999999998</v>
      </c>
      <c r="H55" s="3"/>
      <c r="I55" s="3">
        <v>173.82</v>
      </c>
      <c r="J55" s="2">
        <f t="shared" ref="J55" si="20">G55-H55-I55-N55</f>
        <v>1057.3399999999999</v>
      </c>
      <c r="K55" s="2">
        <f t="shared" ref="K55" si="21">SUM(H55:J55)</f>
        <v>1231.1599999999999</v>
      </c>
      <c r="L55" s="17">
        <f t="shared" ref="L55" si="22">SUM(G55-K55)</f>
        <v>883.52</v>
      </c>
      <c r="M55" s="23"/>
      <c r="N55" s="24">
        <v>883.52</v>
      </c>
    </row>
    <row r="56" spans="1:14" x14ac:dyDescent="0.25">
      <c r="A56">
        <v>50</v>
      </c>
      <c r="B56" s="15" t="s">
        <v>36</v>
      </c>
      <c r="C56" s="13">
        <f>10737.77+4123.3</f>
        <v>14861.07</v>
      </c>
      <c r="D56" s="27">
        <v>2147.5500000000002</v>
      </c>
      <c r="E56" s="30"/>
      <c r="F56" s="30">
        <v>-8218.77</v>
      </c>
      <c r="G56" s="12">
        <f t="shared" si="3"/>
        <v>17008.62</v>
      </c>
      <c r="H56" s="3">
        <v>3549.08</v>
      </c>
      <c r="I56" s="3">
        <v>751.97</v>
      </c>
      <c r="J56" s="2">
        <f t="shared" si="16"/>
        <v>8218.77</v>
      </c>
      <c r="K56" s="2">
        <f t="shared" si="1"/>
        <v>12519.82</v>
      </c>
      <c r="L56" s="17">
        <f>SUM(G56-K56)</f>
        <v>4488.7999999999993</v>
      </c>
      <c r="M56" s="23"/>
      <c r="N56" s="24">
        <v>4488.8</v>
      </c>
    </row>
    <row r="57" spans="1:14" x14ac:dyDescent="0.25">
      <c r="A57">
        <v>51</v>
      </c>
      <c r="B57" s="15" t="s">
        <v>37</v>
      </c>
      <c r="C57" s="13">
        <v>5330.42</v>
      </c>
      <c r="D57" s="27"/>
      <c r="E57" s="30"/>
      <c r="F57" s="30">
        <v>-2516.21</v>
      </c>
      <c r="G57" s="12">
        <f t="shared" si="3"/>
        <v>5330.42</v>
      </c>
      <c r="H57" s="3">
        <v>386.11</v>
      </c>
      <c r="I57" s="3">
        <v>597.53</v>
      </c>
      <c r="J57" s="2">
        <f t="shared" si="16"/>
        <v>846.93000000000075</v>
      </c>
      <c r="K57" s="2">
        <f t="shared" si="1"/>
        <v>1830.5700000000006</v>
      </c>
      <c r="L57" s="17">
        <f t="shared" si="2"/>
        <v>3499.8499999999995</v>
      </c>
      <c r="M57" s="23"/>
      <c r="N57" s="24">
        <v>3499.85</v>
      </c>
    </row>
    <row r="58" spans="1:14" x14ac:dyDescent="0.25">
      <c r="A58">
        <v>52</v>
      </c>
      <c r="B58" s="15" t="s">
        <v>60</v>
      </c>
      <c r="C58" s="13">
        <f>4226.26+84.53</f>
        <v>4310.79</v>
      </c>
      <c r="D58" s="27"/>
      <c r="E58" s="30">
        <v>33.33</v>
      </c>
      <c r="F58" s="30">
        <v>-2092.42</v>
      </c>
      <c r="G58" s="12">
        <f t="shared" si="3"/>
        <v>4344.12</v>
      </c>
      <c r="H58" s="3">
        <v>237.92</v>
      </c>
      <c r="I58" s="3">
        <v>459.45</v>
      </c>
      <c r="J58" s="2">
        <f t="shared" ref="J58" si="23">G58-H58-I58-N58</f>
        <v>2092.42</v>
      </c>
      <c r="K58" s="2">
        <f t="shared" ref="K58" si="24">SUM(H58:J58)</f>
        <v>2789.79</v>
      </c>
      <c r="L58" s="17">
        <f t="shared" ref="L58" si="25">SUM(G58-K58)</f>
        <v>1554.33</v>
      </c>
      <c r="M58" s="23"/>
      <c r="N58" s="24">
        <v>1554.33</v>
      </c>
    </row>
    <row r="59" spans="1:14" x14ac:dyDescent="0.25">
      <c r="A59">
        <v>53</v>
      </c>
      <c r="B59" s="15" t="s">
        <v>58</v>
      </c>
      <c r="C59" s="13">
        <v>1982.4</v>
      </c>
      <c r="D59" s="27"/>
      <c r="E59" s="30"/>
      <c r="F59" s="30">
        <v>-971.76</v>
      </c>
      <c r="G59" s="12">
        <f t="shared" si="3"/>
        <v>1982.4</v>
      </c>
      <c r="H59" s="3"/>
      <c r="I59" s="3">
        <v>161.91</v>
      </c>
      <c r="J59" s="2">
        <f t="shared" ref="J59" si="26">G59-H59-I59-N59</f>
        <v>971.76</v>
      </c>
      <c r="K59" s="2">
        <f t="shared" ref="K59" si="27">SUM(H59:J59)</f>
        <v>1133.67</v>
      </c>
      <c r="L59" s="17">
        <f t="shared" ref="L59" si="28">SUM(G59-K59)</f>
        <v>848.73</v>
      </c>
      <c r="M59" s="23"/>
      <c r="N59" s="24">
        <v>848.73</v>
      </c>
    </row>
    <row r="60" spans="1:14" ht="15.75" thickBot="1" x14ac:dyDescent="0.3">
      <c r="A60">
        <v>54</v>
      </c>
      <c r="B60" s="16" t="s">
        <v>38</v>
      </c>
      <c r="C60" s="14">
        <f>8329.02+1299.33</f>
        <v>9628.35</v>
      </c>
      <c r="D60" s="29">
        <v>1665.8</v>
      </c>
      <c r="E60" s="31"/>
      <c r="F60" s="31">
        <v>-5487.36</v>
      </c>
      <c r="G60" s="70">
        <f t="shared" si="3"/>
        <v>11294.15</v>
      </c>
      <c r="H60" s="10">
        <v>1977.6</v>
      </c>
      <c r="I60" s="10">
        <v>751.97</v>
      </c>
      <c r="J60" s="11">
        <f t="shared" si="16"/>
        <v>5487.3600000000006</v>
      </c>
      <c r="K60" s="11">
        <f t="shared" si="1"/>
        <v>8216.93</v>
      </c>
      <c r="L60" s="18">
        <f t="shared" si="2"/>
        <v>3077.2199999999993</v>
      </c>
      <c r="M60" s="23"/>
      <c r="N60" s="24">
        <v>3077.22</v>
      </c>
    </row>
    <row r="61" spans="1:14" ht="15.75" thickBot="1" x14ac:dyDescent="0.3"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</row>
    <row r="62" spans="1:14" x14ac:dyDescent="0.25">
      <c r="B62" s="53" t="s">
        <v>71</v>
      </c>
      <c r="C62" s="54"/>
      <c r="D62" s="54"/>
      <c r="E62" s="54"/>
      <c r="F62" s="54"/>
      <c r="G62" s="54"/>
      <c r="H62" s="54"/>
      <c r="I62" s="54"/>
      <c r="J62" s="54"/>
      <c r="K62" s="54"/>
      <c r="L62" s="55"/>
    </row>
    <row r="63" spans="1:14" x14ac:dyDescent="0.25">
      <c r="B63" s="57" t="s">
        <v>72</v>
      </c>
      <c r="C63" s="58"/>
      <c r="D63" s="58"/>
      <c r="E63" s="58"/>
      <c r="F63" s="58"/>
      <c r="G63" s="58"/>
      <c r="H63" s="58"/>
      <c r="I63" s="58"/>
      <c r="J63" s="58"/>
      <c r="K63" s="58"/>
      <c r="L63" s="59"/>
    </row>
    <row r="64" spans="1:14" ht="5.25" customHeight="1" x14ac:dyDescent="0.25">
      <c r="B64" s="44"/>
      <c r="C64" s="45"/>
      <c r="D64" s="45"/>
      <c r="E64" s="45"/>
      <c r="F64" s="45"/>
      <c r="G64" s="45"/>
      <c r="H64" s="45"/>
      <c r="I64" s="45"/>
      <c r="J64" s="45"/>
      <c r="K64" s="45"/>
      <c r="L64" s="46"/>
    </row>
    <row r="65" spans="2:12" x14ac:dyDescent="0.25">
      <c r="B65" s="47" t="s">
        <v>66</v>
      </c>
      <c r="C65" s="48"/>
      <c r="D65" s="48"/>
      <c r="E65" s="48"/>
      <c r="F65" s="48"/>
      <c r="G65" s="48"/>
      <c r="H65" s="48"/>
      <c r="I65" s="48"/>
      <c r="J65" s="48"/>
      <c r="K65" s="48"/>
      <c r="L65" s="49"/>
    </row>
    <row r="66" spans="2:12" x14ac:dyDescent="0.25">
      <c r="B66" s="50" t="s">
        <v>63</v>
      </c>
      <c r="C66" s="51"/>
      <c r="D66" s="51"/>
      <c r="E66" s="51"/>
      <c r="F66" s="51"/>
      <c r="G66" s="51"/>
      <c r="H66" s="51"/>
      <c r="I66" s="51"/>
      <c r="J66" s="51"/>
      <c r="K66" s="51"/>
      <c r="L66" s="52"/>
    </row>
    <row r="67" spans="2:12" x14ac:dyDescent="0.25">
      <c r="B67" s="50" t="s">
        <v>64</v>
      </c>
      <c r="C67" s="51"/>
      <c r="D67" s="51"/>
      <c r="E67" s="51"/>
      <c r="F67" s="51"/>
      <c r="G67" s="51"/>
      <c r="H67" s="51"/>
      <c r="I67" s="51"/>
      <c r="J67" s="51"/>
      <c r="K67" s="51"/>
      <c r="L67" s="52"/>
    </row>
    <row r="68" spans="2:12" x14ac:dyDescent="0.25">
      <c r="B68" s="50" t="s">
        <v>65</v>
      </c>
      <c r="C68" s="51"/>
      <c r="D68" s="51"/>
      <c r="E68" s="51"/>
      <c r="F68" s="51"/>
      <c r="G68" s="51"/>
      <c r="H68" s="51"/>
      <c r="I68" s="51"/>
      <c r="J68" s="51"/>
      <c r="K68" s="51"/>
      <c r="L68" s="52"/>
    </row>
    <row r="69" spans="2:12" ht="15.75" thickBot="1" x14ac:dyDescent="0.3">
      <c r="B69" s="41" t="s">
        <v>73</v>
      </c>
      <c r="C69" s="42"/>
      <c r="D69" s="42"/>
      <c r="E69" s="42"/>
      <c r="F69" s="42"/>
      <c r="G69" s="42"/>
      <c r="H69" s="42"/>
      <c r="I69" s="42"/>
      <c r="J69" s="42"/>
      <c r="K69" s="42"/>
      <c r="L69" s="43"/>
    </row>
    <row r="70" spans="2:12" x14ac:dyDescent="0.25"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</row>
    <row r="71" spans="2:12" x14ac:dyDescent="0.25">
      <c r="B71" s="6"/>
      <c r="C71" s="5"/>
      <c r="D71" s="26"/>
      <c r="E71" s="5"/>
      <c r="F71" s="5"/>
      <c r="G71" s="5"/>
      <c r="H71" s="5"/>
      <c r="I71" s="5"/>
      <c r="J71" s="5"/>
      <c r="K71" s="5"/>
      <c r="L71" s="5"/>
    </row>
    <row r="72" spans="2:12" x14ac:dyDescent="0.25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</row>
  </sheetData>
  <mergeCells count="18">
    <mergeCell ref="B62:L62"/>
    <mergeCell ref="B61:L61"/>
    <mergeCell ref="B63:L63"/>
    <mergeCell ref="B1:L1"/>
    <mergeCell ref="B2:L2"/>
    <mergeCell ref="B3:L3"/>
    <mergeCell ref="B5:B6"/>
    <mergeCell ref="C5:C6"/>
    <mergeCell ref="H5:H6"/>
    <mergeCell ref="I5:I6"/>
    <mergeCell ref="E5:E6"/>
    <mergeCell ref="D5:D6"/>
    <mergeCell ref="B69:L69"/>
    <mergeCell ref="B64:L64"/>
    <mergeCell ref="B65:L65"/>
    <mergeCell ref="B66:L66"/>
    <mergeCell ref="B68:L68"/>
    <mergeCell ref="B67:L67"/>
  </mergeCells>
  <pageMargins left="0.23622047244094491" right="3.937007874015748E-2" top="0.19685039370078741" bottom="0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mes</vt:lpstr>
      <vt:lpstr>mes!Area_de_impressao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Aurelio</dc:creator>
  <cp:lastModifiedBy>Marco Aurelio</cp:lastModifiedBy>
  <cp:lastPrinted>2021-05-05T16:16:36Z</cp:lastPrinted>
  <dcterms:created xsi:type="dcterms:W3CDTF">2016-04-28T12:49:34Z</dcterms:created>
  <dcterms:modified xsi:type="dcterms:W3CDTF">2022-01-27T13:14:50Z</dcterms:modified>
</cp:coreProperties>
</file>