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8-AGOSTO\"/>
    </mc:Choice>
  </mc:AlternateContent>
  <xr:revisionPtr revIDLastSave="0" documentId="13_ncr:1_{607B34A8-923B-44A6-89B2-E1C848430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6" l="1"/>
  <c r="C62" i="6"/>
  <c r="M58" i="6"/>
  <c r="F58" i="6"/>
  <c r="C58" i="6"/>
  <c r="C57" i="6"/>
  <c r="C56" i="6"/>
  <c r="D56" i="6"/>
  <c r="C54" i="6"/>
  <c r="C53" i="6"/>
  <c r="C52" i="6"/>
  <c r="M51" i="6"/>
  <c r="L51" i="6"/>
  <c r="F51" i="6"/>
  <c r="C51" i="6"/>
  <c r="C48" i="6"/>
  <c r="C46" i="6"/>
  <c r="C45" i="6"/>
  <c r="C44" i="6"/>
  <c r="C41" i="6"/>
  <c r="D39" i="6"/>
  <c r="C39" i="6"/>
  <c r="C38" i="6"/>
  <c r="M37" i="6"/>
  <c r="L37" i="6"/>
  <c r="F37" i="6"/>
  <c r="C37" i="6"/>
  <c r="L36" i="6"/>
  <c r="G36" i="6"/>
  <c r="F36" i="6"/>
  <c r="C36" i="6"/>
  <c r="M35" i="6"/>
  <c r="F35" i="6"/>
  <c r="C35" i="6"/>
  <c r="C28" i="6"/>
  <c r="C24" i="6"/>
  <c r="C18" i="6"/>
  <c r="C13" i="6"/>
  <c r="M8" i="6"/>
  <c r="G8" i="6"/>
  <c r="F8" i="6"/>
  <c r="C8" i="6"/>
  <c r="C7" i="6"/>
  <c r="C59" i="6"/>
  <c r="M54" i="6"/>
  <c r="C47" i="6"/>
  <c r="M45" i="6"/>
  <c r="M38" i="6"/>
  <c r="P34" i="6"/>
  <c r="O34" i="6"/>
  <c r="N34" i="6"/>
  <c r="K34" i="6"/>
  <c r="M28" i="6"/>
  <c r="C26" i="6"/>
  <c r="C22" i="6" l="1"/>
  <c r="C16" i="6"/>
  <c r="C15" i="6"/>
  <c r="C9" i="6"/>
  <c r="M26" i="6" l="1"/>
  <c r="M9" i="6"/>
  <c r="C63" i="6" l="1"/>
  <c r="K33" i="6"/>
  <c r="N33" i="6" s="1"/>
  <c r="O33" i="6" s="1"/>
  <c r="P33" i="6" s="1"/>
  <c r="C32" i="6"/>
  <c r="C31" i="6"/>
  <c r="C20" i="6"/>
  <c r="C14" i="6"/>
  <c r="D14" i="6"/>
  <c r="C60" i="6"/>
  <c r="C42" i="6"/>
  <c r="C25" i="6"/>
  <c r="C23" i="6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10" i="6"/>
  <c r="N28" i="6" l="1"/>
  <c r="O28" i="6" s="1"/>
  <c r="P28" i="6" s="1"/>
  <c r="O19" i="6"/>
  <c r="P19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0" i="6"/>
  <c r="K31" i="6"/>
  <c r="K32" i="6"/>
  <c r="K35" i="6"/>
  <c r="K38" i="6"/>
  <c r="K39" i="6"/>
  <c r="K40" i="6"/>
  <c r="K41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1" i="6" l="1"/>
  <c r="K14" i="6"/>
  <c r="N62" i="6" l="1"/>
  <c r="O62" i="6" s="1"/>
  <c r="P62" i="6" s="1"/>
  <c r="N31" i="6" l="1"/>
  <c r="O31" i="6" s="1"/>
  <c r="P31" i="6" s="1"/>
  <c r="N8" i="6" l="1"/>
  <c r="O8" i="6" s="1"/>
  <c r="P8" i="6" s="1"/>
  <c r="N40" i="6" l="1"/>
  <c r="O40" i="6" s="1"/>
  <c r="P40" i="6" s="1"/>
  <c r="N55" i="6" l="1"/>
  <c r="O55" i="6" s="1"/>
  <c r="P55" i="6" s="1"/>
  <c r="N15" i="6" l="1"/>
  <c r="O15" i="6" s="1"/>
  <c r="P15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5" i="6" l="1"/>
  <c r="O45" i="6" s="1"/>
  <c r="P45" i="6" s="1"/>
  <c r="N61" i="6"/>
  <c r="O61" i="6" s="1"/>
  <c r="P61" i="6" s="1"/>
  <c r="N16" i="6"/>
  <c r="O16" i="6" s="1"/>
  <c r="P16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2" i="6"/>
  <c r="O32" i="6" s="1"/>
  <c r="P32" i="6" s="1"/>
  <c r="N26" i="6"/>
  <c r="O26" i="6" s="1"/>
  <c r="P26" i="6" s="1"/>
  <c r="N39" i="6"/>
  <c r="O39" i="6" s="1"/>
  <c r="P39" i="6" s="1"/>
  <c r="N43" i="6"/>
  <c r="O43" i="6" s="1"/>
  <c r="P43" i="6" s="1"/>
  <c r="N20" i="6"/>
  <c r="O20" i="6" s="1"/>
  <c r="P20" i="6" s="1"/>
  <c r="N17" i="6"/>
  <c r="O17" i="6" s="1"/>
  <c r="P17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  <c r="N30" i="6"/>
  <c r="O30" i="6" s="1"/>
  <c r="P30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<sst xmlns="http://schemas.openxmlformats.org/spreadsheetml/2006/main" count="90" uniqueCount="88">
  <si>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</si>
  <si>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</si>
  <si>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</si>
  <si>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</si>
  <si>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</si>
  <si>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</si>
  <si>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</si>
  <si>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</si>
  <si>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</si>
  <si>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</si>
  <si>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</si>
  <si>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</si>
  <si>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</si>
  <si>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</si>
  <si>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</si>
  <si>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</si>
  <si>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</si>
  <si>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</si>
  <si>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</si>
  <si>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</si>
  <si>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</si>
  <si>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</si>
  <si>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</si>
  <si>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</si>
  <si>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</si>
  <si>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</si>
  <si>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</si>
  <si>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</si>
  <si>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</si>
  <si>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</si>
  <si>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</si>
  <si>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</si>
  <si>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</si>
  <si>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</si>
  <si>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</si>
  <si>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</si>
  <si>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</si>
  <si>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</si>
  <si>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</si>
  <si>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</si>
  <si>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</si>
  <si>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</si>
  <si>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</si>
  <si>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</si>
  <si>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</si>
  <si>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</si>
  <si>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</si>
  <si>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</si>
  <si>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</si>
  <si>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</si>
  <si>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</si>
  <si>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</si>
  <si>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</si>
  <si>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</si>
  <si>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</si>
  <si>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</si>
  <si>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</si>
  <si>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</si>
  <si>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</si>
  <si>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</si>
  <si>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</si>
  <si>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</si>
  <si>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</si>
  <si>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</si>
  <si>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</si>
  <si>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</si>
  <si>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</si>
  <si>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</si>
  <si>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</si>
  <si>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</si>
  <si>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</si>
  <si>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</si>
  <si>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</si>
  <si>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</si>
  <si>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</si>
  <si>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</si>
  <si>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</si>
  <si>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</si>
  <si>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</si>
  <si>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</si>
  <si>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</si>
  <si>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</si>
  <si>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</si>
  <si>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</si>
  <si>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</si>
  <si>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</si>
  <si>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R$ 700,00 por mês e o Vale refeição no valor diário de R$ 35,00, num  total de 22 vales por mês.</t>
  </si>
  <si>
    <t>AGOSTO/2024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</si>
</sst>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65" sqref="R65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55" t="s">
        <v>48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47</v>
      </c>
      <c r="C5" s="59" t="s">
        <v>37</v>
      </c>
      <c r="D5" s="63" t="s">
        <v>59</v>
      </c>
      <c r="E5" s="59" t="s">
        <v>38</v>
      </c>
      <c r="F5" s="59" t="s">
        <v>60</v>
      </c>
      <c r="G5" s="34" t="s">
        <v>61</v>
      </c>
      <c r="H5" s="35" t="s">
        <v>63</v>
      </c>
      <c r="I5" s="18" t="s">
        <v>50</v>
      </c>
      <c r="J5" s="8" t="s">
        <v>68</v>
      </c>
      <c r="K5" s="18" t="s">
        <v>39</v>
      </c>
      <c r="L5" s="61" t="s">
        <v>41</v>
      </c>
      <c r="M5" s="59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58"/>
      <c r="C6" s="60"/>
      <c r="D6" s="64"/>
      <c r="E6" s="60"/>
      <c r="F6" s="60"/>
      <c r="G6" s="36" t="s">
        <v>62</v>
      </c>
      <c r="H6" s="37" t="s">
        <v>52</v>
      </c>
      <c r="I6" s="19" t="s">
        <v>51</v>
      </c>
      <c r="J6" s="9" t="s">
        <v>69</v>
      </c>
      <c r="K6" s="19" t="s">
        <v>40</v>
      </c>
      <c r="L6" s="62"/>
      <c r="M6" s="60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47" t="s">
        <v>0</v>
      </c>
      <c r="C7" s="14">
        <f>7525.03+962.48</f>
        <v>8487.51</v>
      </c>
      <c r="D7" s="24">
        <v>3169.18</v>
      </c>
      <c r="E7" s="24"/>
      <c r="F7" s="24"/>
      <c r="G7" s="24"/>
      <c r="H7" s="24"/>
      <c r="I7" s="27"/>
      <c r="J7" s="27"/>
      <c r="K7" s="12">
        <f t="shared" ref="K7:K14" si="0">SUM(C7:I7)</f>
        <v>11656.69</v>
      </c>
      <c r="L7" s="3">
        <v>2059.66</v>
      </c>
      <c r="M7" s="3">
        <v>908.85</v>
      </c>
      <c r="N7" s="2">
        <f>K7-L7-M7-R7</f>
        <v>43.290000000000873</v>
      </c>
      <c r="O7" s="2">
        <f t="shared" ref="O7:O64" si="1">SUM(L7:N7)</f>
        <v>3011.8000000000006</v>
      </c>
      <c r="P7" s="16">
        <f t="shared" ref="P7:P64" si="2">SUM(K7-O7)</f>
        <v>8644.89</v>
      </c>
      <c r="Q7" s="22"/>
      <c r="R7" s="46">
        <v>8644.89</v>
      </c>
    </row>
    <row r="8" spans="1:19" x14ac:dyDescent="0.25">
      <c r="A8" s="38">
        <v>2</v>
      </c>
      <c r="B8" s="47" t="s">
        <v>55</v>
      </c>
      <c r="C8" s="14">
        <f>2891.36+331.94</f>
        <v>3223.3</v>
      </c>
      <c r="D8" s="24">
        <v>2640.98</v>
      </c>
      <c r="E8" s="24"/>
      <c r="F8" s="24">
        <f>1172.86+390.95</f>
        <v>1563.81</v>
      </c>
      <c r="G8" s="24">
        <f>2345.71+781.9</f>
        <v>3127.61</v>
      </c>
      <c r="H8" s="24"/>
      <c r="I8" s="27"/>
      <c r="J8" s="27"/>
      <c r="K8" s="12">
        <f t="shared" si="0"/>
        <v>10555.7</v>
      </c>
      <c r="L8" s="3">
        <v>513.4</v>
      </c>
      <c r="M8" s="3">
        <f>739.18+119.56</f>
        <v>858.74</v>
      </c>
      <c r="N8" s="2">
        <f t="shared" ref="N8:N13" si="3">K8-L8-M8-R8</f>
        <v>4704.4100000000017</v>
      </c>
      <c r="O8" s="2">
        <f t="shared" si="1"/>
        <v>6076.5500000000011</v>
      </c>
      <c r="P8" s="16">
        <f t="shared" si="2"/>
        <v>4479.1499999999996</v>
      </c>
      <c r="Q8" s="22"/>
      <c r="R8" s="46">
        <v>4479.1499999999996</v>
      </c>
    </row>
    <row r="9" spans="1:19" x14ac:dyDescent="0.25">
      <c r="A9" s="38">
        <v>3</v>
      </c>
      <c r="B9" s="47" t="s">
        <v>72</v>
      </c>
      <c r="C9" s="14">
        <f>6316.15+227.38</f>
        <v>6543.53</v>
      </c>
      <c r="D9" s="24">
        <v>1263.23</v>
      </c>
      <c r="E9" s="24"/>
      <c r="H9" s="24"/>
      <c r="I9" s="27"/>
      <c r="J9" s="27"/>
      <c r="K9" s="12">
        <f t="shared" ref="K9:K10" si="4">SUM(C9:I9)</f>
        <v>7806.76</v>
      </c>
      <c r="L9" s="3">
        <v>1000.93</v>
      </c>
      <c r="M9" s="3">
        <f>779.99+128.86</f>
        <v>908.85</v>
      </c>
      <c r="N9" s="2">
        <f t="shared" ref="N9:N10" si="5">K9-L9-M9-R9</f>
        <v>883.35999999999967</v>
      </c>
      <c r="O9" s="2">
        <f t="shared" ref="O9:O10" si="6">SUM(L9:N9)</f>
        <v>2793.1399999999994</v>
      </c>
      <c r="P9" s="16">
        <f t="shared" ref="P9:P10" si="7">SUM(K9-O9)</f>
        <v>5013.6200000000008</v>
      </c>
      <c r="Q9" s="22"/>
      <c r="R9" s="46">
        <v>5013.62</v>
      </c>
    </row>
    <row r="10" spans="1:19" x14ac:dyDescent="0.25">
      <c r="A10" s="38">
        <v>4</v>
      </c>
      <c r="B10" s="47" t="s">
        <v>74</v>
      </c>
      <c r="C10" s="14">
        <v>4324.45</v>
      </c>
      <c r="D10" s="24"/>
      <c r="E10" s="24"/>
      <c r="F10" s="24"/>
      <c r="G10" s="24"/>
      <c r="H10" s="24"/>
      <c r="I10" s="27"/>
      <c r="J10" s="27"/>
      <c r="K10" s="12">
        <f t="shared" si="4"/>
        <v>4324.45</v>
      </c>
      <c r="L10" s="3">
        <v>183.15</v>
      </c>
      <c r="M10" s="3">
        <v>424.23</v>
      </c>
      <c r="N10" s="2">
        <f t="shared" si="5"/>
        <v>8.3500000000003638</v>
      </c>
      <c r="O10" s="2">
        <f t="shared" si="6"/>
        <v>615.73000000000036</v>
      </c>
      <c r="P10" s="16">
        <f t="shared" si="7"/>
        <v>3708.7199999999993</v>
      </c>
      <c r="Q10" s="22"/>
      <c r="R10" s="46">
        <v>3708.72</v>
      </c>
    </row>
    <row r="11" spans="1:19" x14ac:dyDescent="0.25">
      <c r="A11" s="38">
        <v>5</v>
      </c>
      <c r="B11" s="47" t="s">
        <v>1</v>
      </c>
      <c r="C11" s="14">
        <v>4743.88</v>
      </c>
      <c r="D11" s="24"/>
      <c r="E11" s="24"/>
      <c r="F11" s="24"/>
      <c r="G11" s="24"/>
      <c r="H11" s="24"/>
      <c r="I11" s="27"/>
      <c r="J11" s="27"/>
      <c r="K11" s="12">
        <f t="shared" si="0"/>
        <v>4743.88</v>
      </c>
      <c r="L11" s="3">
        <v>277.52</v>
      </c>
      <c r="M11" s="3">
        <v>482.95</v>
      </c>
      <c r="N11" s="2">
        <f t="shared" si="3"/>
        <v>488.82000000000062</v>
      </c>
      <c r="O11" s="2">
        <f t="shared" si="1"/>
        <v>1249.2900000000006</v>
      </c>
      <c r="P11" s="16">
        <f>SUM(K11-O11)+H11</f>
        <v>3494.5899999999992</v>
      </c>
      <c r="Q11" s="22"/>
      <c r="R11" s="46">
        <v>3494.59</v>
      </c>
      <c r="S11" s="1"/>
    </row>
    <row r="12" spans="1:19" x14ac:dyDescent="0.25">
      <c r="A12" s="38">
        <v>6</v>
      </c>
      <c r="B12" s="47" t="s">
        <v>2</v>
      </c>
      <c r="C12" s="14">
        <v>6147.48</v>
      </c>
      <c r="D12" s="24"/>
      <c r="E12" s="24"/>
      <c r="F12" s="24"/>
      <c r="G12" s="24"/>
      <c r="H12" s="24"/>
      <c r="I12" s="27"/>
      <c r="J12" s="27"/>
      <c r="K12" s="12">
        <f t="shared" si="0"/>
        <v>6147.48</v>
      </c>
      <c r="L12" s="3">
        <v>607.71</v>
      </c>
      <c r="M12" s="3">
        <v>679.46</v>
      </c>
      <c r="N12" s="2">
        <f t="shared" si="3"/>
        <v>451.72999999999956</v>
      </c>
      <c r="O12" s="2">
        <f t="shared" si="1"/>
        <v>1738.8999999999996</v>
      </c>
      <c r="P12" s="16">
        <f t="shared" si="2"/>
        <v>4408.58</v>
      </c>
      <c r="Q12" s="22"/>
      <c r="R12" s="46">
        <v>4408.58</v>
      </c>
    </row>
    <row r="13" spans="1:19" x14ac:dyDescent="0.25">
      <c r="A13" s="38">
        <v>7</v>
      </c>
      <c r="B13" s="47" t="s">
        <v>70</v>
      </c>
      <c r="C13" s="14">
        <f>6316.15+227.38</f>
        <v>6543.53</v>
      </c>
      <c r="D13" s="24">
        <v>1263.23</v>
      </c>
      <c r="E13" s="24"/>
      <c r="F13" s="24"/>
      <c r="G13" s="24"/>
      <c r="H13" s="24"/>
      <c r="I13" s="27"/>
      <c r="J13" s="27"/>
      <c r="K13" s="12">
        <f t="shared" si="0"/>
        <v>7806.76</v>
      </c>
      <c r="L13" s="3">
        <v>1000.93</v>
      </c>
      <c r="M13" s="3">
        <v>908.85</v>
      </c>
      <c r="N13" s="2">
        <f t="shared" si="3"/>
        <v>8.3499999999994543</v>
      </c>
      <c r="O13" s="2">
        <f t="shared" si="1"/>
        <v>1918.1299999999994</v>
      </c>
      <c r="P13" s="16">
        <f t="shared" si="2"/>
        <v>5888.630000000001</v>
      </c>
      <c r="Q13" s="22"/>
      <c r="R13" s="46">
        <v>5888.63</v>
      </c>
    </row>
    <row r="14" spans="1:19" x14ac:dyDescent="0.25">
      <c r="A14" s="38">
        <v>8</v>
      </c>
      <c r="B14" s="47" t="s">
        <v>3</v>
      </c>
      <c r="C14" s="14">
        <f>16557.45+8692.66</f>
        <v>25250.11</v>
      </c>
      <c r="D14" s="24">
        <f>1655.75+6622.98</f>
        <v>8278.73</v>
      </c>
      <c r="E14" s="24"/>
      <c r="F14" s="24"/>
      <c r="G14" s="24"/>
      <c r="H14" s="24"/>
      <c r="I14" s="27"/>
      <c r="J14" s="27"/>
      <c r="K14" s="12">
        <f t="shared" si="0"/>
        <v>33528.839999999997</v>
      </c>
      <c r="L14" s="3">
        <v>8074.5</v>
      </c>
      <c r="M14" s="3">
        <v>908.85</v>
      </c>
      <c r="N14" s="2">
        <f>K14-L14-M14-R14</f>
        <v>403.17999999999665</v>
      </c>
      <c r="O14" s="2">
        <f t="shared" si="1"/>
        <v>9386.529999999997</v>
      </c>
      <c r="P14" s="16">
        <f t="shared" si="2"/>
        <v>24142.309999999998</v>
      </c>
      <c r="Q14" s="22"/>
      <c r="R14" s="46">
        <v>24142.31</v>
      </c>
    </row>
    <row r="15" spans="1:19" x14ac:dyDescent="0.25">
      <c r="A15" s="38">
        <v>9</v>
      </c>
      <c r="B15" s="47" t="s">
        <v>4</v>
      </c>
      <c r="C15" s="14">
        <f>16393.51+5737.73</f>
        <v>22131.239999999998</v>
      </c>
      <c r="D15" s="24">
        <v>6557.4</v>
      </c>
      <c r="E15" s="24"/>
      <c r="F15" s="42"/>
      <c r="G15" s="24"/>
      <c r="H15" s="24"/>
      <c r="I15" s="27"/>
      <c r="J15" s="27"/>
      <c r="K15" s="12">
        <f t="shared" ref="K15:K30" si="8">SUM(C15:I15)</f>
        <v>28688.639999999999</v>
      </c>
      <c r="L15" s="3">
        <v>6743.44</v>
      </c>
      <c r="M15" s="3">
        <v>908.85</v>
      </c>
      <c r="N15" s="2">
        <f t="shared" ref="N15:N42" si="9">K15-L15-M15-R15</f>
        <v>68.290000000000873</v>
      </c>
      <c r="O15" s="2">
        <f t="shared" si="1"/>
        <v>7720.5800000000008</v>
      </c>
      <c r="P15" s="16">
        <f t="shared" si="2"/>
        <v>20968.059999999998</v>
      </c>
      <c r="Q15" s="22"/>
      <c r="R15" s="46">
        <v>20968.060000000001</v>
      </c>
    </row>
    <row r="16" spans="1:19" x14ac:dyDescent="0.25">
      <c r="A16" s="38">
        <v>10</v>
      </c>
      <c r="B16" s="47" t="s">
        <v>5</v>
      </c>
      <c r="C16" s="14">
        <f>4191.69+635.39</f>
        <v>4827.08</v>
      </c>
      <c r="D16" s="24">
        <v>1584.61</v>
      </c>
      <c r="E16" s="24"/>
      <c r="F16" s="24"/>
      <c r="G16" s="24"/>
      <c r="H16" s="24"/>
      <c r="I16" s="27"/>
      <c r="J16" s="27"/>
      <c r="K16" s="12">
        <f t="shared" si="8"/>
        <v>6411.69</v>
      </c>
      <c r="L16" s="3">
        <v>670.19</v>
      </c>
      <c r="M16" s="3">
        <v>716.45</v>
      </c>
      <c r="N16" s="2">
        <f t="shared" si="9"/>
        <v>64.25</v>
      </c>
      <c r="O16" s="2">
        <f t="shared" si="1"/>
        <v>1450.89</v>
      </c>
      <c r="P16" s="16">
        <f t="shared" si="2"/>
        <v>4960.7999999999993</v>
      </c>
      <c r="Q16" s="22"/>
      <c r="R16" s="46">
        <v>4960.8</v>
      </c>
    </row>
    <row r="17" spans="1:18" x14ac:dyDescent="0.25">
      <c r="A17" s="38">
        <v>11</v>
      </c>
      <c r="B17" s="47" t="s">
        <v>6</v>
      </c>
      <c r="C17" s="14">
        <v>4320.5600000000004</v>
      </c>
      <c r="D17" s="24"/>
      <c r="E17" s="24"/>
      <c r="F17" s="24"/>
      <c r="G17" s="24"/>
      <c r="H17" s="24"/>
      <c r="I17" s="27"/>
      <c r="J17" s="27"/>
      <c r="K17" s="12">
        <f t="shared" si="8"/>
        <v>4320.5600000000004</v>
      </c>
      <c r="L17" s="3">
        <v>182.28</v>
      </c>
      <c r="M17" s="3">
        <v>423.69</v>
      </c>
      <c r="N17" s="2">
        <f t="shared" si="9"/>
        <v>438.40000000000055</v>
      </c>
      <c r="O17" s="2">
        <f t="shared" si="1"/>
        <v>1044.3700000000006</v>
      </c>
      <c r="P17" s="16">
        <f t="shared" si="2"/>
        <v>3276.1899999999996</v>
      </c>
      <c r="Q17" s="22"/>
      <c r="R17" s="46">
        <v>3276.19</v>
      </c>
    </row>
    <row r="18" spans="1:18" x14ac:dyDescent="0.25">
      <c r="A18" s="38">
        <v>12</v>
      </c>
      <c r="B18" s="47" t="s">
        <v>7</v>
      </c>
      <c r="C18" s="14">
        <f>7630.6+2005.96</f>
        <v>9636.5600000000013</v>
      </c>
      <c r="D18" s="24">
        <v>4169.18</v>
      </c>
      <c r="E18" s="24"/>
      <c r="F18" s="24"/>
      <c r="G18" s="24"/>
      <c r="H18" s="24"/>
      <c r="I18" s="27"/>
      <c r="J18" s="27"/>
      <c r="K18" s="12">
        <f t="shared" si="8"/>
        <v>13805.740000000002</v>
      </c>
      <c r="L18" s="3">
        <v>2494.23</v>
      </c>
      <c r="M18" s="3">
        <v>908.85</v>
      </c>
      <c r="N18" s="2">
        <f t="shared" si="9"/>
        <v>685.41000000000167</v>
      </c>
      <c r="O18" s="2">
        <f t="shared" si="1"/>
        <v>4088.4900000000016</v>
      </c>
      <c r="P18" s="16">
        <f t="shared" si="2"/>
        <v>9717.25</v>
      </c>
      <c r="Q18" s="22"/>
      <c r="R18" s="46">
        <v>9717.25</v>
      </c>
    </row>
    <row r="19" spans="1:18" x14ac:dyDescent="0.25">
      <c r="A19" s="38">
        <v>13</v>
      </c>
      <c r="B19" s="47" t="s">
        <v>79</v>
      </c>
      <c r="C19" s="14">
        <v>3204.15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3204.15</v>
      </c>
      <c r="L19" s="3">
        <v>28.51</v>
      </c>
      <c r="M19" s="3">
        <v>283.31</v>
      </c>
      <c r="N19" s="2">
        <f t="shared" ref="N19" si="11">K19-L19-M19-R19</f>
        <v>8.3499999999999091</v>
      </c>
      <c r="O19" s="2">
        <f t="shared" ref="O19" si="12">SUM(L19:N19)</f>
        <v>320.1699999999999</v>
      </c>
      <c r="P19" s="16">
        <f t="shared" ref="P19" si="13">SUM(K19-O19)</f>
        <v>2883.98</v>
      </c>
      <c r="Q19" s="22"/>
      <c r="R19" s="46">
        <v>2883.98</v>
      </c>
    </row>
    <row r="20" spans="1:18" x14ac:dyDescent="0.25">
      <c r="A20" s="38">
        <v>14</v>
      </c>
      <c r="B20" s="47" t="s">
        <v>8</v>
      </c>
      <c r="C20" s="14">
        <f>3988.25+478.59</f>
        <v>4466.84</v>
      </c>
      <c r="D20" s="24"/>
      <c r="E20" s="24"/>
      <c r="F20" s="24"/>
      <c r="G20" s="24"/>
      <c r="H20" s="24"/>
      <c r="I20" s="27"/>
      <c r="J20" s="27"/>
      <c r="K20" s="12">
        <f t="shared" si="8"/>
        <v>4466.84</v>
      </c>
      <c r="L20" s="3">
        <v>215.19</v>
      </c>
      <c r="M20" s="3">
        <v>444.17</v>
      </c>
      <c r="N20" s="2">
        <f t="shared" si="9"/>
        <v>8.3500000000003638</v>
      </c>
      <c r="O20" s="2">
        <f t="shared" si="1"/>
        <v>667.71000000000038</v>
      </c>
      <c r="P20" s="16">
        <f t="shared" si="2"/>
        <v>3799.1299999999997</v>
      </c>
      <c r="Q20" s="22"/>
      <c r="R20" s="46">
        <v>3799.13</v>
      </c>
    </row>
    <row r="21" spans="1:18" x14ac:dyDescent="0.25">
      <c r="A21" s="38">
        <v>15</v>
      </c>
      <c r="B21" s="47" t="s">
        <v>83</v>
      </c>
      <c r="C21" s="14">
        <v>4281.63</v>
      </c>
      <c r="D21" s="24"/>
      <c r="E21" s="24"/>
      <c r="F21" s="24"/>
      <c r="G21" s="24"/>
      <c r="H21" s="24"/>
      <c r="I21" s="27"/>
      <c r="J21" s="27"/>
      <c r="K21" s="12">
        <f t="shared" si="8"/>
        <v>4281.63</v>
      </c>
      <c r="L21" s="3">
        <v>176.08</v>
      </c>
      <c r="M21" s="3">
        <v>418.24</v>
      </c>
      <c r="N21" s="2">
        <f t="shared" ref="N21" si="14">K21-L21-M21-R21</f>
        <v>43.290000000000418</v>
      </c>
      <c r="O21" s="2">
        <f t="shared" ref="O21" si="15">SUM(L21:N21)</f>
        <v>637.61000000000047</v>
      </c>
      <c r="P21" s="16">
        <f t="shared" ref="P21" si="16">SUM(K21-O21)</f>
        <v>3644.0199999999995</v>
      </c>
      <c r="Q21" s="22"/>
      <c r="R21" s="46">
        <v>3644.02</v>
      </c>
    </row>
    <row r="22" spans="1:18" x14ac:dyDescent="0.25">
      <c r="A22" s="38">
        <v>16</v>
      </c>
      <c r="B22" s="47" t="s">
        <v>9</v>
      </c>
      <c r="C22" s="14">
        <f>18289.72+12034.64</f>
        <v>30324.36</v>
      </c>
      <c r="D22" s="24">
        <v>24691.119999999999</v>
      </c>
      <c r="E22" s="24"/>
      <c r="F22" s="24"/>
      <c r="G22" s="24"/>
      <c r="H22" s="24"/>
      <c r="I22" s="27"/>
      <c r="J22" s="27"/>
      <c r="K22" s="12">
        <f t="shared" si="8"/>
        <v>55015.479999999996</v>
      </c>
      <c r="L22" s="3">
        <v>10956.51</v>
      </c>
      <c r="M22" s="3">
        <v>908.85</v>
      </c>
      <c r="N22" s="2">
        <f t="shared" si="9"/>
        <v>11508.989999999994</v>
      </c>
      <c r="O22" s="2">
        <f t="shared" si="1"/>
        <v>23374.349999999995</v>
      </c>
      <c r="P22" s="16">
        <f t="shared" si="2"/>
        <v>31641.13</v>
      </c>
      <c r="Q22" s="22"/>
      <c r="R22" s="46">
        <v>31641.13</v>
      </c>
    </row>
    <row r="23" spans="1:18" x14ac:dyDescent="0.25">
      <c r="A23" s="38">
        <v>17</v>
      </c>
      <c r="B23" s="47" t="s">
        <v>10</v>
      </c>
      <c r="C23" s="14">
        <f>16557.45+5960.68</f>
        <v>22518.13</v>
      </c>
      <c r="D23" s="24">
        <v>3311.49</v>
      </c>
      <c r="E23" s="24"/>
      <c r="F23" s="24"/>
      <c r="G23" s="24"/>
      <c r="H23" s="24"/>
      <c r="I23" s="27"/>
      <c r="J23" s="27"/>
      <c r="K23" s="12">
        <f t="shared" si="8"/>
        <v>25829.620000000003</v>
      </c>
      <c r="L23" s="3">
        <v>5905.07</v>
      </c>
      <c r="M23" s="3">
        <v>908.85</v>
      </c>
      <c r="N23" s="2">
        <f t="shared" si="9"/>
        <v>1451.6100000000042</v>
      </c>
      <c r="O23" s="2">
        <f t="shared" si="1"/>
        <v>8265.5300000000043</v>
      </c>
      <c r="P23" s="16">
        <f t="shared" si="2"/>
        <v>17564.089999999997</v>
      </c>
      <c r="Q23" s="22"/>
      <c r="R23" s="46">
        <v>17564.09</v>
      </c>
    </row>
    <row r="24" spans="1:18" x14ac:dyDescent="0.25">
      <c r="A24" s="38">
        <v>18</v>
      </c>
      <c r="B24" s="47" t="s">
        <v>11</v>
      </c>
      <c r="C24" s="14">
        <f>7768.09+2140.68</f>
        <v>9908.77</v>
      </c>
      <c r="D24" s="24">
        <v>465.29</v>
      </c>
      <c r="E24" s="24"/>
      <c r="F24" s="24"/>
      <c r="G24" s="24"/>
      <c r="H24" s="24"/>
      <c r="I24" s="27"/>
      <c r="J24" s="27"/>
      <c r="K24" s="12">
        <f t="shared" si="8"/>
        <v>10374.060000000001</v>
      </c>
      <c r="L24" s="3">
        <v>1602.66</v>
      </c>
      <c r="M24" s="3">
        <v>908.85</v>
      </c>
      <c r="N24" s="2">
        <f t="shared" si="9"/>
        <v>2131.0300000000007</v>
      </c>
      <c r="O24" s="2">
        <f t="shared" si="1"/>
        <v>4642.5400000000009</v>
      </c>
      <c r="P24" s="16">
        <f t="shared" si="2"/>
        <v>5731.52</v>
      </c>
      <c r="Q24" s="22"/>
      <c r="R24" s="46">
        <v>5731.52</v>
      </c>
    </row>
    <row r="25" spans="1:18" x14ac:dyDescent="0.25">
      <c r="A25" s="38">
        <v>19</v>
      </c>
      <c r="B25" s="47" t="s">
        <v>73</v>
      </c>
      <c r="C25" s="14">
        <f>16393.51+5901.66</f>
        <v>22295.17</v>
      </c>
      <c r="D25" s="24">
        <v>3278.7</v>
      </c>
      <c r="E25" s="24"/>
      <c r="F25" s="24"/>
      <c r="G25" s="24"/>
      <c r="H25" s="24"/>
      <c r="I25" s="27"/>
      <c r="J25" s="27"/>
      <c r="K25" s="12">
        <f t="shared" si="8"/>
        <v>25573.87</v>
      </c>
      <c r="L25" s="3">
        <v>5834.74</v>
      </c>
      <c r="M25" s="3">
        <v>908.85</v>
      </c>
      <c r="N25" s="2">
        <f t="shared" si="9"/>
        <v>6005.8299999999981</v>
      </c>
      <c r="O25" s="2">
        <f t="shared" si="1"/>
        <v>12749.419999999998</v>
      </c>
      <c r="P25" s="16">
        <f t="shared" si="2"/>
        <v>12824.45</v>
      </c>
      <c r="Q25" s="22"/>
      <c r="R25" s="46">
        <v>12824.45</v>
      </c>
    </row>
    <row r="26" spans="1:18" x14ac:dyDescent="0.25">
      <c r="A26" s="38">
        <v>20</v>
      </c>
      <c r="B26" s="47" t="s">
        <v>12</v>
      </c>
      <c r="C26" s="14">
        <f>7768.09+2641.15</f>
        <v>10409.24</v>
      </c>
      <c r="D26" s="24"/>
      <c r="E26" s="24"/>
      <c r="F26" s="24"/>
      <c r="G26" s="24"/>
      <c r="H26" s="24"/>
      <c r="I26" s="27"/>
      <c r="J26" s="27"/>
      <c r="K26" s="12">
        <f t="shared" si="8"/>
        <v>10409.24</v>
      </c>
      <c r="L26" s="3">
        <v>1664.47</v>
      </c>
      <c r="M26" s="3">
        <f>125.76+783.09</f>
        <v>908.85</v>
      </c>
      <c r="N26" s="2">
        <f t="shared" si="9"/>
        <v>437.44000000000051</v>
      </c>
      <c r="O26" s="2">
        <f t="shared" si="1"/>
        <v>3010.7600000000007</v>
      </c>
      <c r="P26" s="16">
        <f>SUM(K26-O26)+H26</f>
        <v>7398.48</v>
      </c>
      <c r="Q26" s="22"/>
      <c r="R26" s="46">
        <v>7398.48</v>
      </c>
    </row>
    <row r="27" spans="1:18" x14ac:dyDescent="0.25">
      <c r="A27" s="38">
        <v>21</v>
      </c>
      <c r="B27" s="47" t="s">
        <v>13</v>
      </c>
      <c r="C27" s="14">
        <v>11049.38</v>
      </c>
      <c r="D27" s="24"/>
      <c r="E27" s="24"/>
      <c r="F27" s="24"/>
      <c r="G27" s="24"/>
      <c r="H27" s="24"/>
      <c r="I27" s="27"/>
      <c r="J27" s="27"/>
      <c r="K27" s="12">
        <f t="shared" si="8"/>
        <v>11049.38</v>
      </c>
      <c r="L27" s="3">
        <v>1892.65</v>
      </c>
      <c r="M27" s="3">
        <v>908.85</v>
      </c>
      <c r="N27" s="2">
        <f t="shared" si="9"/>
        <v>8.3499999999985448</v>
      </c>
      <c r="O27" s="2">
        <f t="shared" si="1"/>
        <v>2809.8499999999985</v>
      </c>
      <c r="P27" s="16">
        <f t="shared" si="2"/>
        <v>8239.5300000000007</v>
      </c>
      <c r="Q27" s="22"/>
      <c r="R27" s="46">
        <v>8239.5300000000007</v>
      </c>
    </row>
    <row r="28" spans="1:18" x14ac:dyDescent="0.25">
      <c r="A28" s="38">
        <v>22</v>
      </c>
      <c r="B28" s="47" t="s">
        <v>14</v>
      </c>
      <c r="C28" s="14">
        <f>6808.75+2014.41</f>
        <v>8823.16</v>
      </c>
      <c r="D28" s="24">
        <v>1584.61</v>
      </c>
      <c r="E28" s="24"/>
      <c r="F28" s="24"/>
      <c r="G28" s="24"/>
      <c r="H28" s="27"/>
      <c r="I28" s="27"/>
      <c r="J28" s="27"/>
      <c r="K28" s="12">
        <f t="shared" si="8"/>
        <v>10407.77</v>
      </c>
      <c r="L28" s="3">
        <v>1611.93</v>
      </c>
      <c r="M28" s="3">
        <f>377.69+531.16</f>
        <v>908.84999999999991</v>
      </c>
      <c r="N28" s="2">
        <f t="shared" si="9"/>
        <v>851.17000000000007</v>
      </c>
      <c r="O28" s="2">
        <f t="shared" si="1"/>
        <v>3371.95</v>
      </c>
      <c r="P28" s="16">
        <f t="shared" si="2"/>
        <v>7035.8200000000006</v>
      </c>
      <c r="Q28" s="22"/>
      <c r="R28" s="46">
        <v>7035.82</v>
      </c>
    </row>
    <row r="29" spans="1:18" x14ac:dyDescent="0.25">
      <c r="A29" s="38">
        <v>23</v>
      </c>
      <c r="B29" s="47" t="s">
        <v>81</v>
      </c>
      <c r="C29" s="14">
        <v>4324.45</v>
      </c>
      <c r="D29" s="24"/>
      <c r="E29" s="24"/>
      <c r="F29" s="24"/>
      <c r="G29" s="24"/>
      <c r="H29" s="24"/>
      <c r="I29" s="27"/>
      <c r="J29" s="27"/>
      <c r="K29" s="12">
        <f t="shared" ref="K29" si="17">SUM(C29:I29)</f>
        <v>4324.45</v>
      </c>
      <c r="L29" s="3">
        <v>183.15</v>
      </c>
      <c r="M29" s="3">
        <v>424.23</v>
      </c>
      <c r="N29" s="2">
        <f t="shared" ref="N29" si="18">K29-L29-M29-R29</f>
        <v>43.289999999999964</v>
      </c>
      <c r="O29" s="2">
        <f t="shared" ref="O29" si="19">SUM(L29:N29)</f>
        <v>650.66999999999996</v>
      </c>
      <c r="P29" s="16">
        <f t="shared" ref="P29" si="20">SUM(K29-O29)</f>
        <v>3673.7799999999997</v>
      </c>
      <c r="Q29" s="22"/>
      <c r="R29" s="46">
        <v>3673.78</v>
      </c>
    </row>
    <row r="30" spans="1:18" x14ac:dyDescent="0.25">
      <c r="A30" s="38">
        <v>24</v>
      </c>
      <c r="B30" s="47" t="s">
        <v>15</v>
      </c>
      <c r="C30" s="14">
        <v>9665.14</v>
      </c>
      <c r="D30" s="24"/>
      <c r="E30" s="24"/>
      <c r="F30" s="24"/>
      <c r="G30" s="24"/>
      <c r="H30" s="24"/>
      <c r="I30" s="27"/>
      <c r="J30" s="27"/>
      <c r="K30" s="12">
        <f t="shared" si="8"/>
        <v>9665.14</v>
      </c>
      <c r="L30" s="3">
        <v>1511.98</v>
      </c>
      <c r="M30" s="3">
        <v>908.85</v>
      </c>
      <c r="N30" s="2">
        <f t="shared" si="9"/>
        <v>310.27999999999975</v>
      </c>
      <c r="O30" s="2">
        <f t="shared" si="1"/>
        <v>2731.1099999999997</v>
      </c>
      <c r="P30" s="16">
        <f t="shared" si="2"/>
        <v>6934.03</v>
      </c>
      <c r="Q30" s="22"/>
      <c r="R30" s="46">
        <v>6934.03</v>
      </c>
    </row>
    <row r="31" spans="1:18" x14ac:dyDescent="0.25">
      <c r="A31" s="38">
        <v>25</v>
      </c>
      <c r="B31" s="47" t="s">
        <v>56</v>
      </c>
      <c r="C31" s="14">
        <f>6812.31+408.74</f>
        <v>7221.05</v>
      </c>
      <c r="D31" s="24"/>
      <c r="E31" s="24"/>
      <c r="F31" s="24"/>
      <c r="G31" s="24"/>
      <c r="H31" s="24"/>
      <c r="I31" s="27"/>
      <c r="J31" s="27"/>
      <c r="K31" s="12">
        <f>SUM(C31:I31)</f>
        <v>7221.05</v>
      </c>
      <c r="L31" s="3">
        <v>861.6</v>
      </c>
      <c r="M31" s="3">
        <v>829.76</v>
      </c>
      <c r="N31" s="2">
        <f t="shared" ref="N31" si="21">K31-L31-M31-R31</f>
        <v>43.289999999999964</v>
      </c>
      <c r="O31" s="2">
        <f t="shared" ref="O31" si="22">SUM(L31:N31)</f>
        <v>1734.65</v>
      </c>
      <c r="P31" s="16">
        <f>SUM(K31-O31)+H31</f>
        <v>5486.4</v>
      </c>
      <c r="Q31" s="22"/>
      <c r="R31" s="46">
        <v>5486.4</v>
      </c>
    </row>
    <row r="32" spans="1:18" x14ac:dyDescent="0.25">
      <c r="A32" s="38">
        <v>26</v>
      </c>
      <c r="B32" s="47" t="s">
        <v>16</v>
      </c>
      <c r="C32" s="14">
        <f>3290.6+789.74</f>
        <v>4080.34</v>
      </c>
      <c r="D32" s="24"/>
      <c r="E32" s="24"/>
      <c r="F32" s="24"/>
      <c r="G32" s="24"/>
      <c r="H32" s="24"/>
      <c r="I32" s="27"/>
      <c r="J32" s="27"/>
      <c r="K32" s="12">
        <f>SUM(C32:I32)</f>
        <v>4080.34</v>
      </c>
      <c r="L32" s="3">
        <v>145.88999999999999</v>
      </c>
      <c r="M32" s="3">
        <v>390.06</v>
      </c>
      <c r="N32" s="2">
        <f t="shared" si="9"/>
        <v>622.01000000000022</v>
      </c>
      <c r="O32" s="2">
        <f t="shared" si="1"/>
        <v>1157.9600000000003</v>
      </c>
      <c r="P32" s="16">
        <f>SUM(K32-O32)+H32</f>
        <v>2922.38</v>
      </c>
      <c r="Q32" s="22"/>
      <c r="R32" s="46">
        <v>2922.38</v>
      </c>
    </row>
    <row r="33" spans="1:18" x14ac:dyDescent="0.25">
      <c r="A33" s="38">
        <v>27</v>
      </c>
      <c r="B33" s="47" t="s">
        <v>84</v>
      </c>
      <c r="C33" s="14">
        <v>4281.63</v>
      </c>
      <c r="D33" s="24"/>
      <c r="E33" s="24"/>
      <c r="F33" s="24"/>
      <c r="G33" s="24"/>
      <c r="H33" s="24"/>
      <c r="I33" s="27"/>
      <c r="J33" s="27"/>
      <c r="K33" s="12">
        <f>SUM(C33:I33)</f>
        <v>4281.63</v>
      </c>
      <c r="L33" s="3">
        <v>176.08</v>
      </c>
      <c r="M33" s="3">
        <v>418.24</v>
      </c>
      <c r="N33" s="2">
        <f t="shared" ref="N33:N34" si="23">K33-L33-M33-R33</f>
        <v>43.290000000000418</v>
      </c>
      <c r="O33" s="2">
        <f t="shared" ref="O33:O34" si="24">SUM(L33:N33)</f>
        <v>637.61000000000047</v>
      </c>
      <c r="P33" s="16">
        <f>SUM(K33-O33)+H33</f>
        <v>3644.0199999999995</v>
      </c>
      <c r="Q33" s="22"/>
      <c r="R33" s="46">
        <v>3644.02</v>
      </c>
    </row>
    <row r="34" spans="1:18" x14ac:dyDescent="0.25">
      <c r="A34" s="38">
        <v>28</v>
      </c>
      <c r="B34" s="47" t="s">
        <v>85</v>
      </c>
      <c r="C34" s="14">
        <v>4281.63</v>
      </c>
      <c r="D34" s="24"/>
      <c r="E34" s="24"/>
      <c r="F34" s="24"/>
      <c r="G34" s="24"/>
      <c r="H34" s="24"/>
      <c r="I34" s="27"/>
      <c r="J34" s="27"/>
      <c r="K34" s="12">
        <f>SUM(C34:I34)</f>
        <v>4281.63</v>
      </c>
      <c r="L34" s="3">
        <v>176.08</v>
      </c>
      <c r="M34" s="3">
        <v>418.24</v>
      </c>
      <c r="N34" s="2">
        <f t="shared" si="23"/>
        <v>43.290000000000418</v>
      </c>
      <c r="O34" s="2">
        <f t="shared" si="24"/>
        <v>637.61000000000047</v>
      </c>
      <c r="P34" s="16">
        <f>SUM(K34-O34)+H34</f>
        <v>3644.0199999999995</v>
      </c>
      <c r="Q34" s="22"/>
      <c r="R34" s="46">
        <v>3644.02</v>
      </c>
    </row>
    <row r="35" spans="1:18" x14ac:dyDescent="0.25">
      <c r="A35" s="38">
        <v>29</v>
      </c>
      <c r="B35" s="47" t="s">
        <v>17</v>
      </c>
      <c r="C35" s="14">
        <f>6551.52+1257.89</f>
        <v>7809.4100000000008</v>
      </c>
      <c r="D35" s="24">
        <v>1310.3</v>
      </c>
      <c r="E35" s="24"/>
      <c r="F35" s="24">
        <f>1752.77+584.26+94.89</f>
        <v>2431.9199999999996</v>
      </c>
      <c r="G35" s="24"/>
      <c r="H35" s="24"/>
      <c r="I35" s="27"/>
      <c r="J35" s="27"/>
      <c r="K35" s="12">
        <f>SUM(C35:I35)</f>
        <v>11551.630000000001</v>
      </c>
      <c r="L35" s="3">
        <v>1440.1</v>
      </c>
      <c r="M35" s="3">
        <f>719.7+189.15</f>
        <v>908.85</v>
      </c>
      <c r="N35" s="2">
        <f t="shared" si="9"/>
        <v>2216.17</v>
      </c>
      <c r="O35" s="2">
        <f t="shared" si="1"/>
        <v>4565.12</v>
      </c>
      <c r="P35" s="16">
        <f t="shared" si="2"/>
        <v>6986.5100000000011</v>
      </c>
      <c r="Q35" s="22"/>
      <c r="R35" s="46">
        <v>6986.51</v>
      </c>
    </row>
    <row r="36" spans="1:18" x14ac:dyDescent="0.25">
      <c r="A36" s="38">
        <v>30</v>
      </c>
      <c r="B36" s="47" t="s">
        <v>18</v>
      </c>
      <c r="C36" s="14">
        <f>9289.66+3121.32</f>
        <v>12410.98</v>
      </c>
      <c r="D36" s="24">
        <v>1857.93</v>
      </c>
      <c r="E36" s="24"/>
      <c r="F36" s="24">
        <f>10911.52+3637.17</f>
        <v>14548.69</v>
      </c>
      <c r="G36" s="24">
        <f>7274.35+2424.78</f>
        <v>9699.130000000001</v>
      </c>
      <c r="H36" s="24"/>
      <c r="I36" s="27"/>
      <c r="J36" s="27"/>
      <c r="K36" s="12">
        <f t="shared" ref="K36:K42" si="25">SUM(C36:I36)</f>
        <v>38516.729999999996</v>
      </c>
      <c r="L36" s="3">
        <f>2872.63+3470.48</f>
        <v>6343.1100000000006</v>
      </c>
      <c r="M36" s="3">
        <v>908.85</v>
      </c>
      <c r="N36" s="2">
        <f t="shared" si="9"/>
        <v>20235.669999999998</v>
      </c>
      <c r="O36" s="2">
        <f t="shared" si="1"/>
        <v>27487.629999999997</v>
      </c>
      <c r="P36" s="16">
        <f t="shared" si="2"/>
        <v>11029.099999999999</v>
      </c>
      <c r="Q36" s="22"/>
      <c r="R36" s="46">
        <v>11029.1</v>
      </c>
    </row>
    <row r="37" spans="1:18" x14ac:dyDescent="0.25">
      <c r="A37" s="38">
        <v>31</v>
      </c>
      <c r="B37" s="47" t="s">
        <v>75</v>
      </c>
      <c r="C37" s="14">
        <f>2945.6+35.35</f>
        <v>2980.95</v>
      </c>
      <c r="D37" s="24">
        <v>589.12</v>
      </c>
      <c r="E37" s="24"/>
      <c r="F37" s="24">
        <f>3570.07+1190.02</f>
        <v>4760.09</v>
      </c>
      <c r="G37" s="24"/>
      <c r="H37" s="24"/>
      <c r="I37" s="27"/>
      <c r="J37" s="27"/>
      <c r="K37" s="12">
        <f t="shared" si="25"/>
        <v>8330.16</v>
      </c>
      <c r="L37" s="3">
        <f>69.35+281.17</f>
        <v>350.52</v>
      </c>
      <c r="M37" s="3">
        <f>423.63+485.22</f>
        <v>908.85</v>
      </c>
      <c r="N37" s="2">
        <f t="shared" ref="N37" si="26">K37-L37-M37-R37</f>
        <v>4002.0499999999993</v>
      </c>
      <c r="O37" s="2">
        <f t="shared" ref="O37" si="27">SUM(L37:N37)</f>
        <v>5261.4199999999992</v>
      </c>
      <c r="P37" s="16">
        <f t="shared" ref="P37" si="28">SUM(K37-O37)</f>
        <v>3068.7400000000007</v>
      </c>
      <c r="Q37" s="22"/>
      <c r="R37" s="46">
        <v>3068.74</v>
      </c>
    </row>
    <row r="38" spans="1:18" x14ac:dyDescent="0.25">
      <c r="A38" s="38">
        <v>32</v>
      </c>
      <c r="B38" s="47" t="s">
        <v>57</v>
      </c>
      <c r="C38" s="14">
        <f>7332.86+1231.92</f>
        <v>8564.7799999999988</v>
      </c>
      <c r="D38" s="24">
        <v>1466.57</v>
      </c>
      <c r="E38" s="24"/>
      <c r="F38" s="24"/>
      <c r="G38" s="24"/>
      <c r="H38" s="24"/>
      <c r="I38" s="27"/>
      <c r="J38" s="27"/>
      <c r="K38" s="12">
        <f t="shared" si="25"/>
        <v>10031.349999999999</v>
      </c>
      <c r="L38" s="3">
        <v>1612.69</v>
      </c>
      <c r="M38" s="3">
        <f>334.84+574.01</f>
        <v>908.84999999999991</v>
      </c>
      <c r="N38" s="2">
        <f t="shared" si="9"/>
        <v>1750.659999999998</v>
      </c>
      <c r="O38" s="2">
        <f t="shared" si="1"/>
        <v>4272.199999999998</v>
      </c>
      <c r="P38" s="16">
        <f t="shared" si="2"/>
        <v>5759.1500000000005</v>
      </c>
      <c r="Q38" s="22"/>
      <c r="R38" s="46">
        <v>5759.15</v>
      </c>
    </row>
    <row r="39" spans="1:18" x14ac:dyDescent="0.25">
      <c r="A39" s="38">
        <v>33</v>
      </c>
      <c r="B39" s="47" t="s">
        <v>19</v>
      </c>
      <c r="C39" s="14">
        <f>7046.73+949.01</f>
        <v>7995.74</v>
      </c>
      <c r="D39" s="24">
        <f>1409.35+1034</f>
        <v>2443.35</v>
      </c>
      <c r="E39" s="24"/>
      <c r="F39" s="24"/>
      <c r="G39" s="24"/>
      <c r="H39" s="24"/>
      <c r="I39" s="27"/>
      <c r="J39" s="27"/>
      <c r="K39" s="12">
        <f t="shared" si="25"/>
        <v>10439.09</v>
      </c>
      <c r="L39" s="3">
        <v>1620.54</v>
      </c>
      <c r="M39" s="3">
        <v>908.85</v>
      </c>
      <c r="N39" s="2">
        <f t="shared" si="9"/>
        <v>2934.7499999999991</v>
      </c>
      <c r="O39" s="2">
        <f t="shared" si="1"/>
        <v>5464.1399999999994</v>
      </c>
      <c r="P39" s="16">
        <f>SUM(K39-O39)+H39</f>
        <v>4974.9500000000007</v>
      </c>
      <c r="Q39" s="22"/>
      <c r="R39" s="46">
        <v>4974.95</v>
      </c>
    </row>
    <row r="40" spans="1:18" x14ac:dyDescent="0.25">
      <c r="A40" s="38">
        <v>34</v>
      </c>
      <c r="B40" s="47" t="s">
        <v>54</v>
      </c>
      <c r="C40" s="14">
        <v>3641.4</v>
      </c>
      <c r="D40" s="24"/>
      <c r="E40" s="24"/>
      <c r="F40" s="24"/>
      <c r="G40" s="24"/>
      <c r="H40" s="24"/>
      <c r="I40" s="27"/>
      <c r="J40" s="27"/>
      <c r="K40" s="12">
        <f t="shared" si="25"/>
        <v>3641.4</v>
      </c>
      <c r="L40" s="3">
        <v>80.05</v>
      </c>
      <c r="M40" s="3">
        <v>335.78</v>
      </c>
      <c r="N40" s="2">
        <f t="shared" ref="N40" si="29">K40-L40-M40-R40</f>
        <v>60.4699999999998</v>
      </c>
      <c r="O40" s="2">
        <f t="shared" ref="O40" si="30">SUM(L40:N40)</f>
        <v>476.29999999999978</v>
      </c>
      <c r="P40" s="16">
        <f t="shared" ref="P40" si="31">SUM(K40-O40)</f>
        <v>3165.1000000000004</v>
      </c>
      <c r="Q40" s="22"/>
      <c r="R40" s="46">
        <v>3165.1</v>
      </c>
    </row>
    <row r="41" spans="1:18" x14ac:dyDescent="0.25">
      <c r="A41" s="38">
        <v>35</v>
      </c>
      <c r="B41" s="47" t="s">
        <v>20</v>
      </c>
      <c r="C41" s="14">
        <f>4584.39+798.81</f>
        <v>5383.2000000000007</v>
      </c>
      <c r="D41" s="24">
        <v>741.03</v>
      </c>
      <c r="E41" s="24"/>
      <c r="F41" s="24"/>
      <c r="G41" s="24"/>
      <c r="H41" s="24"/>
      <c r="I41" s="27"/>
      <c r="J41" s="27"/>
      <c r="K41" s="12">
        <f t="shared" si="25"/>
        <v>6124.2300000000005</v>
      </c>
      <c r="L41" s="3">
        <v>602.21</v>
      </c>
      <c r="M41" s="3">
        <v>676.2</v>
      </c>
      <c r="N41" s="2">
        <f t="shared" si="9"/>
        <v>576.77000000000044</v>
      </c>
      <c r="O41" s="2">
        <f t="shared" si="1"/>
        <v>1855.1800000000005</v>
      </c>
      <c r="P41" s="16">
        <f t="shared" si="2"/>
        <v>4269.05</v>
      </c>
      <c r="Q41" s="22"/>
      <c r="R41" s="46">
        <v>4269.05</v>
      </c>
    </row>
    <row r="42" spans="1:18" x14ac:dyDescent="0.25">
      <c r="A42" s="38">
        <v>36</v>
      </c>
      <c r="B42" s="47" t="s">
        <v>21</v>
      </c>
      <c r="C42" s="14">
        <f>16723.02+5819.61</f>
        <v>22542.63</v>
      </c>
      <c r="D42" s="24">
        <v>3344.6</v>
      </c>
      <c r="E42" s="24"/>
      <c r="F42" s="24"/>
      <c r="G42" s="24"/>
      <c r="H42" s="24"/>
      <c r="I42" s="27"/>
      <c r="J42" s="27"/>
      <c r="K42" s="12">
        <f t="shared" si="25"/>
        <v>25887.23</v>
      </c>
      <c r="L42" s="3">
        <v>5868.78</v>
      </c>
      <c r="M42" s="3">
        <v>908.85</v>
      </c>
      <c r="N42" s="2">
        <f t="shared" si="9"/>
        <v>92.350000000002183</v>
      </c>
      <c r="O42" s="2">
        <f t="shared" si="1"/>
        <v>6869.9800000000023</v>
      </c>
      <c r="P42" s="16">
        <f t="shared" si="2"/>
        <v>19017.249999999996</v>
      </c>
      <c r="Q42" s="22"/>
      <c r="R42" s="46">
        <v>19017.25</v>
      </c>
    </row>
    <row r="43" spans="1:18" x14ac:dyDescent="0.25">
      <c r="A43" s="38">
        <v>37</v>
      </c>
      <c r="B43" s="48" t="s">
        <v>22</v>
      </c>
      <c r="C43" s="29">
        <v>3986.9</v>
      </c>
      <c r="D43" s="25"/>
      <c r="E43" s="25"/>
      <c r="F43" s="25"/>
      <c r="G43" s="24"/>
      <c r="H43" s="24"/>
      <c r="I43" s="27"/>
      <c r="J43" s="27"/>
      <c r="K43" s="30">
        <f t="shared" ref="K43:K52" si="32">SUM(C43:I43)</f>
        <v>3986.9</v>
      </c>
      <c r="L43" s="31">
        <v>131.88</v>
      </c>
      <c r="M43" s="31">
        <v>377.24</v>
      </c>
      <c r="N43" s="32">
        <f t="shared" ref="N43:N64" si="33">K43-L43-M43-R43</f>
        <v>306.55999999999995</v>
      </c>
      <c r="O43" s="32">
        <f t="shared" si="1"/>
        <v>815.68</v>
      </c>
      <c r="P43" s="33">
        <f t="shared" si="2"/>
        <v>3171.2200000000003</v>
      </c>
      <c r="Q43" s="22"/>
      <c r="R43" s="46">
        <v>3171.22</v>
      </c>
    </row>
    <row r="44" spans="1:18" x14ac:dyDescent="0.25">
      <c r="A44" s="38">
        <v>38</v>
      </c>
      <c r="B44" s="48" t="s">
        <v>76</v>
      </c>
      <c r="C44" s="29">
        <f>4455.48+44.55</f>
        <v>4500.03</v>
      </c>
      <c r="D44" s="25"/>
      <c r="E44" s="25"/>
      <c r="F44" s="25"/>
      <c r="G44" s="24"/>
      <c r="H44" s="24"/>
      <c r="I44" s="27"/>
      <c r="J44" s="27"/>
      <c r="K44" s="30">
        <f t="shared" ref="K44" si="34">SUM(C44:I44)</f>
        <v>4500.03</v>
      </c>
      <c r="L44" s="31">
        <v>206.09</v>
      </c>
      <c r="M44" s="31">
        <v>448.82</v>
      </c>
      <c r="N44" s="32">
        <f t="shared" ref="N44" si="35">K44-L44-M44-R44</f>
        <v>209.72999999999956</v>
      </c>
      <c r="O44" s="32">
        <f t="shared" ref="O44" si="36">SUM(L44:N44)</f>
        <v>864.63999999999953</v>
      </c>
      <c r="P44" s="33">
        <f t="shared" ref="P44" si="37">SUM(K44-O44)</f>
        <v>3635.3900000000003</v>
      </c>
      <c r="Q44" s="22"/>
      <c r="R44" s="46">
        <v>3635.39</v>
      </c>
    </row>
    <row r="45" spans="1:18" x14ac:dyDescent="0.25">
      <c r="A45" s="38">
        <v>39</v>
      </c>
      <c r="B45" s="47" t="s">
        <v>23</v>
      </c>
      <c r="C45" s="14">
        <f>5538.43+1552.56</f>
        <v>7090.99</v>
      </c>
      <c r="D45" s="24">
        <v>930.59</v>
      </c>
      <c r="E45" s="24"/>
      <c r="F45" s="24"/>
      <c r="G45" s="24"/>
      <c r="H45" s="24"/>
      <c r="I45" s="27"/>
      <c r="J45" s="27"/>
      <c r="K45" s="12">
        <f t="shared" si="32"/>
        <v>8021.58</v>
      </c>
      <c r="L45" s="3">
        <v>1060</v>
      </c>
      <c r="M45" s="3">
        <f>880.01+28.84</f>
        <v>908.85</v>
      </c>
      <c r="N45" s="2">
        <f t="shared" si="33"/>
        <v>873.17999999999938</v>
      </c>
      <c r="O45" s="2">
        <f t="shared" si="1"/>
        <v>2842.0299999999993</v>
      </c>
      <c r="P45" s="16">
        <f t="shared" si="2"/>
        <v>5179.5500000000011</v>
      </c>
      <c r="Q45" s="22"/>
      <c r="R45" s="46">
        <v>5179.55</v>
      </c>
    </row>
    <row r="46" spans="1:18" x14ac:dyDescent="0.25">
      <c r="A46" s="38">
        <v>40</v>
      </c>
      <c r="B46" s="47" t="s">
        <v>24</v>
      </c>
      <c r="C46" s="14">
        <f>11206.77+1905.15</f>
        <v>13111.92</v>
      </c>
      <c r="D46" s="24"/>
      <c r="E46" s="24"/>
      <c r="F46" s="24"/>
      <c r="G46" s="24"/>
      <c r="H46" s="24"/>
      <c r="I46" s="27">
        <v>4052.65</v>
      </c>
      <c r="J46" s="27"/>
      <c r="K46" s="12">
        <f t="shared" si="32"/>
        <v>17164.57</v>
      </c>
      <c r="L46" s="3">
        <v>3522.19</v>
      </c>
      <c r="M46" s="3">
        <v>908.85</v>
      </c>
      <c r="N46" s="2">
        <f t="shared" si="33"/>
        <v>845.01999999999862</v>
      </c>
      <c r="O46" s="2">
        <f t="shared" si="1"/>
        <v>5276.0599999999986</v>
      </c>
      <c r="P46" s="16">
        <f t="shared" si="2"/>
        <v>11888.510000000002</v>
      </c>
      <c r="Q46" s="22"/>
      <c r="R46" s="46">
        <v>11888.51</v>
      </c>
    </row>
    <row r="47" spans="1:18" x14ac:dyDescent="0.25">
      <c r="A47" s="38">
        <v>41</v>
      </c>
      <c r="B47" s="47" t="s">
        <v>25</v>
      </c>
      <c r="C47" s="14">
        <f>7979.45+4259.75</f>
        <v>12239.2</v>
      </c>
      <c r="D47" s="24">
        <v>7233.96</v>
      </c>
      <c r="E47" s="24"/>
      <c r="F47" s="24"/>
      <c r="G47" s="24"/>
      <c r="H47" s="24"/>
      <c r="I47" s="27"/>
      <c r="J47" s="27"/>
      <c r="K47" s="12">
        <f t="shared" si="32"/>
        <v>19473.16</v>
      </c>
      <c r="L47" s="3">
        <v>4209.1899999999996</v>
      </c>
      <c r="M47" s="3">
        <v>908.85</v>
      </c>
      <c r="N47" s="2">
        <f>K47-L47-M47-R47</f>
        <v>1125.4600000000009</v>
      </c>
      <c r="O47" s="2">
        <f>SUM(L47:N47)</f>
        <v>6243.5000000000009</v>
      </c>
      <c r="P47" s="16">
        <f t="shared" si="2"/>
        <v>13229.66</v>
      </c>
      <c r="Q47" s="22"/>
      <c r="R47" s="46">
        <v>13229.66</v>
      </c>
    </row>
    <row r="48" spans="1:18" x14ac:dyDescent="0.25">
      <c r="A48" s="38">
        <v>42</v>
      </c>
      <c r="B48" s="47" t="s">
        <v>26</v>
      </c>
      <c r="C48" s="14">
        <f>7706.91+1572.21</f>
        <v>9279.119999999999</v>
      </c>
      <c r="D48" s="24">
        <v>1541.38</v>
      </c>
      <c r="E48" s="24"/>
      <c r="F48" s="24"/>
      <c r="G48" s="24"/>
      <c r="H48" s="24"/>
      <c r="I48" s="27"/>
      <c r="J48" s="27"/>
      <c r="K48" s="12">
        <f t="shared" si="32"/>
        <v>10820.5</v>
      </c>
      <c r="L48" s="3">
        <v>1725.43</v>
      </c>
      <c r="M48" s="3">
        <v>908.85</v>
      </c>
      <c r="N48" s="2">
        <f t="shared" si="33"/>
        <v>577.21999999999935</v>
      </c>
      <c r="O48" s="2">
        <f t="shared" si="1"/>
        <v>3211.4999999999995</v>
      </c>
      <c r="P48" s="16">
        <f t="shared" si="2"/>
        <v>7609</v>
      </c>
      <c r="Q48" s="22"/>
      <c r="R48" s="46">
        <v>7609</v>
      </c>
    </row>
    <row r="49" spans="1:18" x14ac:dyDescent="0.25">
      <c r="A49" s="38">
        <v>43</v>
      </c>
      <c r="B49" s="47" t="s">
        <v>82</v>
      </c>
      <c r="C49" s="14">
        <v>3204.15</v>
      </c>
      <c r="D49" s="24"/>
      <c r="E49" s="24"/>
      <c r="F49" s="24"/>
      <c r="G49" s="24"/>
      <c r="H49" s="24"/>
      <c r="I49" s="27"/>
      <c r="J49" s="27"/>
      <c r="K49" s="12">
        <f t="shared" si="32"/>
        <v>3204.15</v>
      </c>
      <c r="L49" s="3">
        <v>28.51</v>
      </c>
      <c r="M49" s="3">
        <v>283.31</v>
      </c>
      <c r="N49" s="2">
        <f t="shared" ref="N49" si="38">K49-L49-M49-R49</f>
        <v>39.549999999999727</v>
      </c>
      <c r="O49" s="2">
        <f t="shared" ref="O49" si="39">SUM(L49:N49)</f>
        <v>351.36999999999972</v>
      </c>
      <c r="P49" s="16">
        <f t="shared" ref="P49" si="40">SUM(K49-O49)</f>
        <v>2852.78</v>
      </c>
      <c r="Q49" s="22"/>
      <c r="R49" s="46">
        <v>2852.78</v>
      </c>
    </row>
    <row r="50" spans="1:18" x14ac:dyDescent="0.25">
      <c r="A50" s="38">
        <v>44</v>
      </c>
      <c r="B50" s="47" t="s">
        <v>27</v>
      </c>
      <c r="C50" s="14">
        <v>10686.59</v>
      </c>
      <c r="D50" s="24"/>
      <c r="E50" s="24"/>
      <c r="F50" s="24"/>
      <c r="G50" s="24"/>
      <c r="H50" s="24"/>
      <c r="I50" s="27"/>
      <c r="J50" s="27"/>
      <c r="K50" s="12">
        <f t="shared" si="32"/>
        <v>10686.59</v>
      </c>
      <c r="L50" s="3">
        <v>1740.74</v>
      </c>
      <c r="M50" s="3">
        <v>908.85</v>
      </c>
      <c r="N50" s="2">
        <f t="shared" si="33"/>
        <v>1442.2299999999996</v>
      </c>
      <c r="O50" s="2">
        <f t="shared" si="1"/>
        <v>4091.8199999999997</v>
      </c>
      <c r="P50" s="16">
        <f>SUM(K50-O50)+H50</f>
        <v>6594.77</v>
      </c>
      <c r="Q50" s="22"/>
      <c r="R50" s="46">
        <v>6594.77</v>
      </c>
    </row>
    <row r="51" spans="1:18" x14ac:dyDescent="0.25">
      <c r="A51" s="38">
        <v>45</v>
      </c>
      <c r="B51" s="47" t="s">
        <v>28</v>
      </c>
      <c r="C51" s="14">
        <f>3740.13+628.34</f>
        <v>4368.47</v>
      </c>
      <c r="D51" s="24">
        <v>748.03</v>
      </c>
      <c r="E51" s="24"/>
      <c r="F51" s="24">
        <f>5116.49+1705.5</f>
        <v>6821.99</v>
      </c>
      <c r="G51" s="24"/>
      <c r="H51" s="24"/>
      <c r="I51" s="27"/>
      <c r="J51" s="27"/>
      <c r="K51" s="12">
        <f t="shared" si="32"/>
        <v>11938.49</v>
      </c>
      <c r="L51" s="3">
        <f>361.36+767.23</f>
        <v>1128.5900000000001</v>
      </c>
      <c r="M51" s="3">
        <f>134.96+773.89</f>
        <v>908.85</v>
      </c>
      <c r="N51" s="2">
        <f t="shared" si="33"/>
        <v>6293.7599999999993</v>
      </c>
      <c r="O51" s="2">
        <f t="shared" si="1"/>
        <v>8331.1999999999989</v>
      </c>
      <c r="P51" s="16">
        <f>SUM(K51-O51)+H51</f>
        <v>3607.2900000000009</v>
      </c>
      <c r="Q51" s="22"/>
      <c r="R51" s="46">
        <v>3607.29</v>
      </c>
    </row>
    <row r="52" spans="1:18" x14ac:dyDescent="0.25">
      <c r="A52" s="38">
        <v>46</v>
      </c>
      <c r="B52" s="47" t="s">
        <v>29</v>
      </c>
      <c r="C52" s="14">
        <f>5746.03+861.9</f>
        <v>6607.9299999999994</v>
      </c>
      <c r="D52" s="24"/>
      <c r="E52" s="24"/>
      <c r="F52" s="24"/>
      <c r="G52" s="24"/>
      <c r="H52" s="24"/>
      <c r="I52" s="27"/>
      <c r="J52" s="27"/>
      <c r="K52" s="12">
        <f t="shared" si="32"/>
        <v>6607.9299999999994</v>
      </c>
      <c r="L52" s="3">
        <v>664.47</v>
      </c>
      <c r="M52" s="3">
        <v>743.92</v>
      </c>
      <c r="N52" s="2">
        <f t="shared" si="33"/>
        <v>1197.389999999999</v>
      </c>
      <c r="O52" s="2">
        <f t="shared" si="1"/>
        <v>2605.7799999999988</v>
      </c>
      <c r="P52" s="16">
        <f t="shared" si="2"/>
        <v>4002.1500000000005</v>
      </c>
      <c r="Q52" s="22"/>
      <c r="R52" s="46">
        <v>4002.15</v>
      </c>
    </row>
    <row r="53" spans="1:18" x14ac:dyDescent="0.25">
      <c r="A53" s="38">
        <v>47</v>
      </c>
      <c r="B53" s="47" t="s">
        <v>30</v>
      </c>
      <c r="C53" s="14">
        <f>7406.19+1658.99</f>
        <v>9065.18</v>
      </c>
      <c r="D53" s="24">
        <v>2962.48</v>
      </c>
      <c r="E53" s="24"/>
      <c r="F53" s="24"/>
      <c r="G53" s="24"/>
      <c r="H53" s="24"/>
      <c r="I53" s="27"/>
      <c r="J53" s="27"/>
      <c r="K53" s="12">
        <f t="shared" ref="K53:K61" si="41">SUM(C53:I53)</f>
        <v>12027.66</v>
      </c>
      <c r="L53" s="3">
        <v>2109.54</v>
      </c>
      <c r="M53" s="3">
        <v>908.85</v>
      </c>
      <c r="N53" s="2">
        <f t="shared" si="33"/>
        <v>268.72999999999774</v>
      </c>
      <c r="O53" s="2">
        <f t="shared" si="1"/>
        <v>3287.1199999999976</v>
      </c>
      <c r="P53" s="16">
        <f t="shared" si="2"/>
        <v>8740.5400000000027</v>
      </c>
      <c r="Q53" s="22"/>
      <c r="R53" s="46">
        <v>8740.5400000000009</v>
      </c>
    </row>
    <row r="54" spans="1:18" x14ac:dyDescent="0.25">
      <c r="A54" s="38">
        <v>48</v>
      </c>
      <c r="B54" s="47" t="s">
        <v>31</v>
      </c>
      <c r="C54" s="14">
        <f>7678.02+1018.89</f>
        <v>8696.91</v>
      </c>
      <c r="D54" s="24">
        <v>1584.61</v>
      </c>
      <c r="E54" s="24"/>
      <c r="F54" s="24"/>
      <c r="G54" s="24"/>
      <c r="H54" s="24"/>
      <c r="I54" s="27"/>
      <c r="J54" s="27"/>
      <c r="K54" s="12">
        <f t="shared" si="41"/>
        <v>10281.52</v>
      </c>
      <c r="L54" s="3">
        <v>1629.35</v>
      </c>
      <c r="M54" s="3">
        <f>130.43+778.42</f>
        <v>908.84999999999991</v>
      </c>
      <c r="N54" s="2">
        <f t="shared" si="33"/>
        <v>1009.79</v>
      </c>
      <c r="O54" s="2">
        <f t="shared" si="1"/>
        <v>3547.99</v>
      </c>
      <c r="P54" s="16">
        <f t="shared" si="2"/>
        <v>6733.5300000000007</v>
      </c>
      <c r="Q54" s="22"/>
      <c r="R54" s="46">
        <v>6733.53</v>
      </c>
    </row>
    <row r="55" spans="1:18" x14ac:dyDescent="0.25">
      <c r="A55" s="38">
        <v>49</v>
      </c>
      <c r="B55" s="47" t="s">
        <v>53</v>
      </c>
      <c r="C55" s="14">
        <v>3675.75</v>
      </c>
      <c r="D55" s="24"/>
      <c r="E55" s="24"/>
      <c r="F55" s="24"/>
      <c r="G55" s="24"/>
      <c r="H55" s="24"/>
      <c r="I55" s="27"/>
      <c r="J55" s="27"/>
      <c r="K55" s="12">
        <f t="shared" si="41"/>
        <v>3675.75</v>
      </c>
      <c r="L55" s="3">
        <v>85.2</v>
      </c>
      <c r="M55" s="3">
        <v>339.9</v>
      </c>
      <c r="N55" s="2">
        <f t="shared" ref="N55" si="42">K55-L55-M55-R55</f>
        <v>8.3499999999999091</v>
      </c>
      <c r="O55" s="2">
        <f t="shared" ref="O55" si="43">SUM(L55:N55)</f>
        <v>433.44999999999987</v>
      </c>
      <c r="P55" s="16">
        <f t="shared" ref="P55" si="44">SUM(K55-O55)</f>
        <v>3242.3</v>
      </c>
      <c r="Q55" s="22"/>
      <c r="R55" s="46">
        <v>3242.3</v>
      </c>
    </row>
    <row r="56" spans="1:18" x14ac:dyDescent="0.25">
      <c r="A56" s="38">
        <v>50</v>
      </c>
      <c r="B56" s="47" t="s">
        <v>32</v>
      </c>
      <c r="C56" s="14">
        <f>16557.45+6374.61</f>
        <v>22932.06</v>
      </c>
      <c r="D56" s="24">
        <f>3311.49+51.71</f>
        <v>3363.2</v>
      </c>
      <c r="E56" s="24"/>
      <c r="F56" s="24"/>
      <c r="G56" s="24"/>
      <c r="H56" s="24"/>
      <c r="I56" s="27"/>
      <c r="J56" s="27"/>
      <c r="K56" s="12">
        <f t="shared" si="41"/>
        <v>26295.260000000002</v>
      </c>
      <c r="L56" s="3">
        <v>6085.26</v>
      </c>
      <c r="M56" s="3">
        <v>908.85</v>
      </c>
      <c r="N56" s="2">
        <f t="shared" si="33"/>
        <v>342.59000000000015</v>
      </c>
      <c r="O56" s="2">
        <f t="shared" si="1"/>
        <v>7336.7000000000007</v>
      </c>
      <c r="P56" s="16">
        <f>SUM(K56-O56)+H56</f>
        <v>18958.560000000001</v>
      </c>
      <c r="Q56" s="22"/>
      <c r="R56" s="46">
        <v>18958.560000000001</v>
      </c>
    </row>
    <row r="57" spans="1:18" x14ac:dyDescent="0.25">
      <c r="A57" s="38">
        <v>51</v>
      </c>
      <c r="B57" s="47" t="s">
        <v>33</v>
      </c>
      <c r="C57" s="14">
        <f>3501.54+595.26</f>
        <v>4096.8</v>
      </c>
      <c r="D57" s="24"/>
      <c r="E57" s="24"/>
      <c r="F57" s="24"/>
      <c r="G57" s="24"/>
      <c r="H57" s="24"/>
      <c r="I57" s="27"/>
      <c r="J57" s="27"/>
      <c r="K57" s="12">
        <f t="shared" si="41"/>
        <v>4096.8</v>
      </c>
      <c r="L57" s="3">
        <v>148.36000000000001</v>
      </c>
      <c r="M57" s="3">
        <v>392.36</v>
      </c>
      <c r="N57" s="2">
        <f t="shared" si="33"/>
        <v>50.819999999999709</v>
      </c>
      <c r="O57" s="2">
        <f t="shared" si="1"/>
        <v>591.53999999999974</v>
      </c>
      <c r="P57" s="16">
        <f t="shared" si="2"/>
        <v>3505.26</v>
      </c>
      <c r="Q57" s="22"/>
      <c r="R57" s="46">
        <v>3505.26</v>
      </c>
    </row>
    <row r="58" spans="1:18" x14ac:dyDescent="0.25">
      <c r="A58" s="38">
        <v>52</v>
      </c>
      <c r="B58" s="47" t="s">
        <v>71</v>
      </c>
      <c r="C58" s="14">
        <f>3676.14+123.21</f>
        <v>3799.35</v>
      </c>
      <c r="D58" s="24">
        <v>430.83</v>
      </c>
      <c r="E58" s="24"/>
      <c r="F58" s="24">
        <f>757.29+252.43</f>
        <v>1009.72</v>
      </c>
      <c r="G58" s="24"/>
      <c r="H58" s="24"/>
      <c r="I58" s="27"/>
      <c r="J58" s="27"/>
      <c r="K58" s="12">
        <f t="shared" si="41"/>
        <v>5239.9000000000005</v>
      </c>
      <c r="L58" s="3">
        <v>168.37</v>
      </c>
      <c r="M58" s="3">
        <f>464.96+87.44</f>
        <v>552.4</v>
      </c>
      <c r="N58" s="2">
        <f t="shared" ref="N58" si="45">K58-L58-M58-R58</f>
        <v>965.05000000000109</v>
      </c>
      <c r="O58" s="2">
        <f t="shared" ref="O58" si="46">SUM(L58:N58)</f>
        <v>1685.8200000000011</v>
      </c>
      <c r="P58" s="16">
        <f t="shared" ref="P58" si="47">SUM(K58-O58)</f>
        <v>3554.0799999999995</v>
      </c>
      <c r="Q58" s="22"/>
      <c r="R58" s="46">
        <v>3554.08</v>
      </c>
    </row>
    <row r="59" spans="1:18" x14ac:dyDescent="0.25">
      <c r="A59" s="38">
        <v>53</v>
      </c>
      <c r="B59" s="47" t="s">
        <v>77</v>
      </c>
      <c r="C59" s="14">
        <f>4281.63+42.82</f>
        <v>4324.45</v>
      </c>
      <c r="D59" s="24"/>
      <c r="E59" s="24"/>
      <c r="F59" s="24"/>
      <c r="G59" s="24"/>
      <c r="H59" s="24"/>
      <c r="I59" s="27"/>
      <c r="J59" s="27"/>
      <c r="K59" s="12">
        <f t="shared" si="41"/>
        <v>4324.45</v>
      </c>
      <c r="L59" s="3">
        <v>183.15</v>
      </c>
      <c r="M59" s="3">
        <v>424.23</v>
      </c>
      <c r="N59" s="2">
        <f t="shared" ref="N59" si="48">K59-L59-M59-R59</f>
        <v>43.289999999999964</v>
      </c>
      <c r="O59" s="2">
        <f t="shared" ref="O59" si="49">SUM(L59:N59)</f>
        <v>650.66999999999996</v>
      </c>
      <c r="P59" s="16">
        <f t="shared" ref="P59" si="50">SUM(K59-O59)</f>
        <v>3673.7799999999997</v>
      </c>
      <c r="Q59" s="22"/>
      <c r="R59" s="46">
        <v>3673.78</v>
      </c>
    </row>
    <row r="60" spans="1:18" x14ac:dyDescent="0.25">
      <c r="A60" s="38">
        <v>54</v>
      </c>
      <c r="B60" s="47" t="s">
        <v>34</v>
      </c>
      <c r="C60" s="14">
        <f>14715.31+7210.5</f>
        <v>21925.809999999998</v>
      </c>
      <c r="D60" s="24">
        <v>5886.12</v>
      </c>
      <c r="E60" s="24"/>
      <c r="F60" s="24"/>
      <c r="G60" s="24"/>
      <c r="H60" s="24"/>
      <c r="I60" s="27"/>
      <c r="J60" s="27"/>
      <c r="K60" s="12">
        <f t="shared" si="41"/>
        <v>27811.929999999997</v>
      </c>
      <c r="L60" s="3">
        <v>6450.21</v>
      </c>
      <c r="M60" s="3">
        <v>908.85</v>
      </c>
      <c r="N60" s="2">
        <f t="shared" si="33"/>
        <v>1819.9500000000007</v>
      </c>
      <c r="O60" s="2">
        <f t="shared" si="1"/>
        <v>9179.010000000002</v>
      </c>
      <c r="P60" s="16">
        <f>SUM(K60-O60)+H60</f>
        <v>18632.919999999995</v>
      </c>
      <c r="Q60" s="22"/>
      <c r="R60" s="46">
        <v>18632.919999999998</v>
      </c>
    </row>
    <row r="61" spans="1:18" x14ac:dyDescent="0.25">
      <c r="A61" s="38">
        <v>55</v>
      </c>
      <c r="B61" s="47" t="s">
        <v>35</v>
      </c>
      <c r="C61" s="14">
        <v>8075.61</v>
      </c>
      <c r="D61" s="24"/>
      <c r="E61" s="24"/>
      <c r="F61" s="24"/>
      <c r="G61" s="24"/>
      <c r="H61" s="24"/>
      <c r="I61" s="27"/>
      <c r="J61" s="27"/>
      <c r="K61" s="12">
        <f t="shared" si="41"/>
        <v>8075.61</v>
      </c>
      <c r="L61" s="3">
        <v>1022.72</v>
      </c>
      <c r="M61" s="3">
        <v>908.85</v>
      </c>
      <c r="N61" s="2">
        <f t="shared" si="33"/>
        <v>2251.9299999999989</v>
      </c>
      <c r="O61" s="2">
        <f t="shared" si="1"/>
        <v>4183.4999999999991</v>
      </c>
      <c r="P61" s="16">
        <f t="shared" si="2"/>
        <v>3892.1100000000006</v>
      </c>
      <c r="Q61" s="22"/>
      <c r="R61" s="46">
        <v>3892.11</v>
      </c>
    </row>
    <row r="62" spans="1:18" x14ac:dyDescent="0.25">
      <c r="A62" s="38">
        <v>56</v>
      </c>
      <c r="B62" s="47" t="s">
        <v>58</v>
      </c>
      <c r="C62" s="14">
        <f>6443.11+322.16</f>
        <v>6765.2699999999995</v>
      </c>
      <c r="D62" s="24"/>
      <c r="E62" s="24"/>
      <c r="F62" s="24"/>
      <c r="G62" s="24"/>
      <c r="H62" s="24"/>
      <c r="I62" s="27"/>
      <c r="J62" s="27"/>
      <c r="K62" s="12">
        <f>SUM(C62:I62)</f>
        <v>6765.2699999999995</v>
      </c>
      <c r="L62" s="3">
        <v>753.81</v>
      </c>
      <c r="M62" s="3">
        <v>765.95</v>
      </c>
      <c r="N62" s="2">
        <f t="shared" ref="N62" si="51">K62-L62-M62-R62</f>
        <v>1130.7199999999993</v>
      </c>
      <c r="O62" s="2">
        <f t="shared" ref="O62" si="52">SUM(L62:N62)</f>
        <v>2650.4799999999996</v>
      </c>
      <c r="P62" s="16">
        <f t="shared" ref="P62" si="53">SUM(K62-O62)</f>
        <v>4114.79</v>
      </c>
      <c r="Q62" s="22"/>
      <c r="R62" s="46">
        <v>4114.79</v>
      </c>
    </row>
    <row r="63" spans="1:18" x14ac:dyDescent="0.25">
      <c r="A63" s="38">
        <v>57</v>
      </c>
      <c r="B63" s="49" t="s">
        <v>78</v>
      </c>
      <c r="C63" s="43">
        <f>4281.63+42.82</f>
        <v>4324.45</v>
      </c>
      <c r="D63" s="44"/>
      <c r="E63" s="44"/>
      <c r="F63" s="44"/>
      <c r="G63" s="24"/>
      <c r="H63" s="24"/>
      <c r="I63" s="27"/>
      <c r="J63" s="27"/>
      <c r="K63" s="12">
        <f>SUM(C63:I63)</f>
        <v>4324.45</v>
      </c>
      <c r="L63" s="45">
        <v>183.15</v>
      </c>
      <c r="M63" s="45">
        <v>424.23</v>
      </c>
      <c r="N63" s="2">
        <f t="shared" ref="N63" si="54">K63-L63-M63-R63</f>
        <v>307.49000000000024</v>
      </c>
      <c r="O63" s="2">
        <f t="shared" ref="O63" si="55">SUM(L63:N63)</f>
        <v>914.87000000000023</v>
      </c>
      <c r="P63" s="16">
        <f t="shared" ref="P63" si="56">SUM(K63-O63)</f>
        <v>3409.5799999999995</v>
      </c>
      <c r="Q63" s="22"/>
      <c r="R63" s="46">
        <v>3409.58</v>
      </c>
    </row>
    <row r="64" spans="1:18" ht="15.75" thickBot="1" x14ac:dyDescent="0.3">
      <c r="A64" s="38">
        <v>58</v>
      </c>
      <c r="B64" s="50" t="s">
        <v>36</v>
      </c>
      <c r="C64" s="15">
        <f>11432.03+2400.73</f>
        <v>13832.76</v>
      </c>
      <c r="D64" s="26">
        <v>4572.8100000000004</v>
      </c>
      <c r="E64" s="26"/>
      <c r="F64" s="26"/>
      <c r="G64" s="26"/>
      <c r="H64" s="26"/>
      <c r="I64" s="28">
        <v>4052.65</v>
      </c>
      <c r="J64" s="28"/>
      <c r="K64" s="13">
        <f>SUM(C64:J64)</f>
        <v>22458.22</v>
      </c>
      <c r="L64" s="10">
        <v>4977.9399999999996</v>
      </c>
      <c r="M64" s="10">
        <v>908.85</v>
      </c>
      <c r="N64" s="11">
        <f t="shared" si="33"/>
        <v>75.86000000000422</v>
      </c>
      <c r="O64" s="11">
        <f t="shared" si="1"/>
        <v>5962.6500000000042</v>
      </c>
      <c r="P64" s="17">
        <f t="shared" si="2"/>
        <v>16495.569999999996</v>
      </c>
      <c r="Q64" s="22"/>
      <c r="R64" s="46">
        <v>16495.57</v>
      </c>
    </row>
    <row r="65" spans="2:16" ht="15.75" thickBot="1" x14ac:dyDescent="0.3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2:16" x14ac:dyDescent="0.25">
      <c r="B66" s="51" t="s">
        <v>86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5.25" customHeight="1" x14ac:dyDescent="0.25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</row>
    <row r="68" spans="2:16" x14ac:dyDescent="0.25">
      <c r="B68" s="71" t="s">
        <v>67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x14ac:dyDescent="0.25">
      <c r="B69" s="68" t="s">
        <v>64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65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x14ac:dyDescent="0.25">
      <c r="B71" s="68" t="s">
        <v>66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0"/>
    </row>
    <row r="72" spans="2:16" ht="15.75" thickBot="1" x14ac:dyDescent="0.3">
      <c r="B72" s="65" t="s">
        <v>80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2024-08-29T14:07:32Z</cp:lastPrinted>
  <dcterms:created xsi:type="dcterms:W3CDTF">2016-04-28T12:49:34Z</dcterms:created>
  <dcterms:modified xsi:type="dcterms:W3CDTF">2024-08-29T16:27:12Z</dcterms:modified>
</cp:coreProperties>
</file>