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7 - JULHO\"/>
    </mc:Choice>
  </mc:AlternateContent>
  <xr:revisionPtr revIDLastSave="0" documentId="13_ncr:1_{5D006038-E183-4ADD-8B1E-5FFC0F0AA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6" l="1"/>
  <c r="F60" i="6"/>
  <c r="C60" i="6"/>
  <c r="C56" i="6"/>
  <c r="C53" i="6"/>
  <c r="M52" i="6"/>
  <c r="F52" i="6"/>
  <c r="C52" i="6"/>
  <c r="C50" i="6"/>
  <c r="M48" i="6"/>
  <c r="G48" i="6"/>
  <c r="F48" i="6"/>
  <c r="C48" i="6"/>
  <c r="C47" i="6"/>
  <c r="M46" i="6"/>
  <c r="L46" i="6"/>
  <c r="F46" i="6"/>
  <c r="C46" i="6"/>
  <c r="M45" i="6"/>
  <c r="F45" i="6"/>
  <c r="C45" i="6"/>
  <c r="M43" i="6"/>
  <c r="F43" i="6"/>
  <c r="C43" i="6"/>
  <c r="M42" i="6"/>
  <c r="L42" i="6"/>
  <c r="F42" i="6"/>
  <c r="C42" i="6"/>
  <c r="C40" i="6"/>
  <c r="M39" i="6"/>
  <c r="G39" i="6"/>
  <c r="F39" i="6"/>
  <c r="C39" i="6"/>
  <c r="M36" i="6"/>
  <c r="L36" i="6"/>
  <c r="F36" i="6"/>
  <c r="C37" i="6"/>
  <c r="C36" i="6"/>
  <c r="C35" i="6"/>
  <c r="C34" i="6"/>
  <c r="M31" i="6"/>
  <c r="L31" i="6"/>
  <c r="D31" i="6"/>
  <c r="C31" i="6"/>
  <c r="C25" i="6"/>
  <c r="C22" i="6"/>
  <c r="C21" i="6"/>
  <c r="L19" i="6"/>
  <c r="F19" i="6"/>
  <c r="C19" i="6"/>
  <c r="M18" i="6"/>
  <c r="F18" i="6"/>
  <c r="C18" i="6"/>
  <c r="C15" i="6"/>
  <c r="D14" i="6"/>
  <c r="C14" i="6"/>
  <c r="C9" i="6"/>
  <c r="M8" i="6"/>
  <c r="F8" i="6"/>
  <c r="C8" i="6"/>
  <c r="M7" i="6"/>
  <c r="F7" i="6"/>
  <c r="C7" i="6"/>
  <c r="K55" i="6"/>
  <c r="N55" i="6" s="1"/>
  <c r="O55" i="6" s="1"/>
  <c r="P55" i="6" s="1"/>
  <c r="K13" i="6"/>
  <c r="K10" i="6"/>
  <c r="N10" i="6" s="1"/>
  <c r="O10" i="6" s="1"/>
  <c r="P10" i="6" s="1"/>
  <c r="K43" i="6" l="1"/>
  <c r="K60" i="6"/>
  <c r="N13" i="6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<sst xmlns="http://schemas.openxmlformats.org/spreadsheetml/2006/main" count="87" uniqueCount="85">
  <si>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</si>
  <si>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</si>
  <si>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</si>
  <si>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</si>
  <si>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</si>
  <si>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</si>
  <si>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</si>
  <si>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</si>
  <si>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</si>
  <si>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</si>
  <si>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</si>
  <si>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</si>
  <si>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</si>
  <si>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</si>
  <si>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</si>
  <si>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</si>
  <si>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</si>
  <si>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</si>
  <si>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</si>
  <si>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</si>
  <si>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</si>
  <si>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</si>
  <si>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</si>
  <si>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</si>
  <si>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</si>
  <si>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</si>
  <si>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</si>
  <si>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</si>
  <si>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</si>
  <si>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</si>
  <si>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</si>
  <si>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</si>
  <si>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</si>
  <si>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</si>
  <si>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</si>
  <si>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</si>
  <si>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</si>
  <si>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</si>
  <si>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</si>
  <si>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</si>
  <si>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</si>
  <si>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</si>
  <si>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</si>
  <si>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</si>
  <si>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</si>
  <si>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</si>
  <si>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</si>
  <si>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</si>
  <si>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</si>
  <si>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</si>
  <si>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</si>
  <si>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</si>
  <si>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</si>
  <si>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</si>
  <si>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</si>
  <si>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</si>
  <si>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</si>
  <si>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</si>
  <si>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</si>
  <si>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</si>
  <si>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</si>
  <si>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</si>
  <si>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</si>
  <si>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</si>
  <si>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</si>
  <si>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</si>
  <si>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</si>
  <si>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</si>
  <si>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</si>
  <si>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</si>
  <si>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</si>
  <si>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</si>
  <si>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</si>
  <si>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</si>
  <si>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</si>
  <si>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</si>
  <si>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</si>
  <si>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</si>
  <si>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</si>
  <si>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</si>
  <si>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</si>
  <si>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</si>
  <si>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</si>
  <si>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JULHO/2021</t>
  </si>
  <si>
    <t>IRAN LUIZ CORDEIRO (CONTRATO SUSPENSO)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</si>
</sst>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6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D23" sqref="D23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2" t="s">
        <v>50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ht="16.5" x14ac:dyDescent="0.25">
      <c r="B2" s="52" t="s">
        <v>51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4.5" customHeight="1" thickBot="1" x14ac:dyDescent="0.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9" ht="19.5" thickBot="1" x14ac:dyDescent="0.35">
      <c r="B4" s="32" t="s">
        <v>83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54" t="s">
        <v>49</v>
      </c>
      <c r="C5" s="56" t="s">
        <v>39</v>
      </c>
      <c r="D5" s="60" t="s">
        <v>65</v>
      </c>
      <c r="E5" s="56" t="s">
        <v>40</v>
      </c>
      <c r="F5" s="56" t="s">
        <v>66</v>
      </c>
      <c r="G5" s="41" t="s">
        <v>67</v>
      </c>
      <c r="H5" s="42" t="s">
        <v>69</v>
      </c>
      <c r="I5" s="17" t="s">
        <v>52</v>
      </c>
      <c r="J5" s="5" t="s">
        <v>75</v>
      </c>
      <c r="K5" s="17" t="s">
        <v>41</v>
      </c>
      <c r="L5" s="58" t="s">
        <v>43</v>
      </c>
      <c r="M5" s="56" t="s">
        <v>44</v>
      </c>
      <c r="N5" s="17" t="s">
        <v>45</v>
      </c>
      <c r="O5" s="5" t="s">
        <v>47</v>
      </c>
      <c r="P5" s="19" t="s">
        <v>41</v>
      </c>
    </row>
    <row r="6" spans="1:19" ht="15.75" thickBot="1" x14ac:dyDescent="0.3">
      <c r="B6" s="55"/>
      <c r="C6" s="57"/>
      <c r="D6" s="61"/>
      <c r="E6" s="57"/>
      <c r="F6" s="57"/>
      <c r="G6" s="43" t="s">
        <v>68</v>
      </c>
      <c r="H6" s="44" t="s">
        <v>54</v>
      </c>
      <c r="I6" s="18" t="s">
        <v>53</v>
      </c>
      <c r="J6" s="6" t="s">
        <v>76</v>
      </c>
      <c r="K6" s="18" t="s">
        <v>42</v>
      </c>
      <c r="L6" s="59"/>
      <c r="M6" s="57"/>
      <c r="N6" s="18" t="s">
        <v>46</v>
      </c>
      <c r="O6" s="6" t="s">
        <v>46</v>
      </c>
      <c r="P6" s="20" t="s">
        <v>48</v>
      </c>
    </row>
    <row r="7" spans="1:19" x14ac:dyDescent="0.25">
      <c r="A7">
        <v>1</v>
      </c>
      <c r="B7" s="13" t="s">
        <v>0</v>
      </c>
      <c r="C7" s="11">
        <f>2832.05+169.92</f>
        <v>3001.9700000000003</v>
      </c>
      <c r="D7" s="24"/>
      <c r="E7" s="27"/>
      <c r="F7" s="27">
        <f>2429.45+145.77+858.41+68.67</f>
        <v>3502.2999999999997</v>
      </c>
      <c r="G7" s="27"/>
      <c r="H7" s="27"/>
      <c r="I7" s="28"/>
      <c r="J7" s="28"/>
      <c r="K7" s="9">
        <f t="shared" ref="K7:K14" si="0">SUM(C7:I7)</f>
        <v>6504.27</v>
      </c>
      <c r="L7" s="3">
        <v>166.45</v>
      </c>
      <c r="M7" s="3">
        <f>419.99+331.98</f>
        <v>751.97</v>
      </c>
      <c r="N7" s="2">
        <f t="shared" ref="N7:N13" si="1">K7-L7-M7-R7</f>
        <v>3032.6100000000006</v>
      </c>
      <c r="O7" s="2">
        <f t="shared" ref="O7:O60" si="2">SUM(L7:N7)</f>
        <v>3951.0300000000007</v>
      </c>
      <c r="P7" s="15">
        <f t="shared" ref="P7:P60" si="3">SUM(K7-O7)</f>
        <v>2553.2399999999998</v>
      </c>
      <c r="Q7" s="21"/>
      <c r="R7" s="22">
        <v>2553.2399999999998</v>
      </c>
    </row>
    <row r="8" spans="1:19" x14ac:dyDescent="0.25">
      <c r="A8">
        <v>2</v>
      </c>
      <c r="B8" s="13" t="s">
        <v>1</v>
      </c>
      <c r="C8" s="11">
        <f>1259.52+88.17</f>
        <v>1347.69</v>
      </c>
      <c r="D8" s="24"/>
      <c r="E8" s="27"/>
      <c r="F8" s="27">
        <f>1234.82+86.43+440.42+35.25</f>
        <v>1796.92</v>
      </c>
      <c r="G8" s="27"/>
      <c r="H8" s="27"/>
      <c r="I8" s="28"/>
      <c r="J8" s="28"/>
      <c r="K8" s="9">
        <f t="shared" si="0"/>
        <v>3144.61</v>
      </c>
      <c r="L8" s="3"/>
      <c r="M8" s="3">
        <f>149.94+144.8</f>
        <v>294.74</v>
      </c>
      <c r="N8" s="2">
        <f t="shared" si="1"/>
        <v>2810.5</v>
      </c>
      <c r="O8" s="2">
        <f t="shared" si="2"/>
        <v>3105.24</v>
      </c>
      <c r="P8" s="15">
        <f t="shared" si="3"/>
        <v>39.370000000000346</v>
      </c>
      <c r="Q8" s="21"/>
      <c r="R8" s="22">
        <v>39.369999999999997</v>
      </c>
    </row>
    <row r="9" spans="1:19" x14ac:dyDescent="0.25">
      <c r="A9">
        <v>3</v>
      </c>
      <c r="B9" s="13" t="s">
        <v>58</v>
      </c>
      <c r="C9" s="11">
        <f>2015.88+90.48</f>
        <v>2106.36</v>
      </c>
      <c r="D9" s="24">
        <v>1030</v>
      </c>
      <c r="E9" s="27"/>
      <c r="F9" s="27"/>
      <c r="G9" s="27"/>
      <c r="H9" s="27"/>
      <c r="I9" s="28"/>
      <c r="J9" s="28"/>
      <c r="K9" s="9">
        <f t="shared" si="0"/>
        <v>3136.36</v>
      </c>
      <c r="L9" s="3">
        <v>71.59</v>
      </c>
      <c r="M9" s="3">
        <v>293.75</v>
      </c>
      <c r="N9" s="2">
        <f t="shared" si="1"/>
        <v>97.139999999999873</v>
      </c>
      <c r="O9" s="2">
        <f t="shared" si="2"/>
        <v>462.4799999999999</v>
      </c>
      <c r="P9" s="15">
        <f t="shared" si="3"/>
        <v>2673.88</v>
      </c>
      <c r="Q9" s="21"/>
      <c r="R9" s="22">
        <v>2673.88</v>
      </c>
    </row>
    <row r="10" spans="1:19" x14ac:dyDescent="0.25">
      <c r="A10">
        <v>4</v>
      </c>
      <c r="B10" s="13" t="s">
        <v>79</v>
      </c>
      <c r="C10" s="11">
        <v>4143.38</v>
      </c>
      <c r="D10" s="24">
        <v>828.68</v>
      </c>
      <c r="E10" s="27"/>
      <c r="F10" s="27"/>
      <c r="G10" s="27"/>
      <c r="H10" s="27"/>
      <c r="I10" s="28"/>
      <c r="J10" s="28"/>
      <c r="K10" s="9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5">
        <f t="shared" ref="P10" si="7">SUM(K10-O10)</f>
        <v>4023.8600000000006</v>
      </c>
      <c r="Q10" s="21"/>
      <c r="R10" s="22">
        <v>4023.86</v>
      </c>
    </row>
    <row r="11" spans="1:19" x14ac:dyDescent="0.25">
      <c r="A11">
        <v>5</v>
      </c>
      <c r="B11" s="13" t="s">
        <v>2</v>
      </c>
      <c r="C11" s="11">
        <v>2913.19</v>
      </c>
      <c r="D11" s="24"/>
      <c r="E11" s="27"/>
      <c r="F11" s="27"/>
      <c r="G11" s="27"/>
      <c r="H11" s="27"/>
      <c r="I11" s="28"/>
      <c r="J11" s="28"/>
      <c r="K11" s="9">
        <f t="shared" si="0"/>
        <v>2913.19</v>
      </c>
      <c r="L11" s="3">
        <v>55.67</v>
      </c>
      <c r="M11" s="3">
        <v>266.97000000000003</v>
      </c>
      <c r="N11" s="2">
        <f t="shared" si="1"/>
        <v>997.29000000000019</v>
      </c>
      <c r="O11" s="2">
        <f t="shared" si="2"/>
        <v>1319.9300000000003</v>
      </c>
      <c r="P11" s="15">
        <f>SUM(K11-O11)+H11</f>
        <v>1593.2599999999998</v>
      </c>
      <c r="Q11" s="21"/>
      <c r="R11" s="22">
        <v>1593.26</v>
      </c>
      <c r="S11" s="1"/>
    </row>
    <row r="12" spans="1:19" x14ac:dyDescent="0.25">
      <c r="A12">
        <v>6</v>
      </c>
      <c r="B12" s="13" t="s">
        <v>3</v>
      </c>
      <c r="C12" s="11">
        <v>3911.14</v>
      </c>
      <c r="D12" s="24"/>
      <c r="E12" s="27"/>
      <c r="F12" s="27"/>
      <c r="G12" s="27"/>
      <c r="H12" s="27"/>
      <c r="I12" s="28"/>
      <c r="J12" s="28"/>
      <c r="K12" s="9">
        <f t="shared" si="0"/>
        <v>3911.14</v>
      </c>
      <c r="L12" s="3">
        <v>143.61000000000001</v>
      </c>
      <c r="M12" s="3">
        <v>398.83</v>
      </c>
      <c r="N12" s="2">
        <f t="shared" si="1"/>
        <v>1191.0299999999997</v>
      </c>
      <c r="O12" s="2">
        <f t="shared" si="2"/>
        <v>1733.4699999999998</v>
      </c>
      <c r="P12" s="15">
        <f t="shared" si="3"/>
        <v>2177.67</v>
      </c>
      <c r="Q12" s="21"/>
      <c r="R12" s="22">
        <v>2177.67</v>
      </c>
    </row>
    <row r="13" spans="1:19" x14ac:dyDescent="0.25">
      <c r="A13">
        <v>7</v>
      </c>
      <c r="B13" s="13" t="s">
        <v>77</v>
      </c>
      <c r="C13" s="11">
        <v>4143.38</v>
      </c>
      <c r="D13" s="24">
        <v>828.68</v>
      </c>
      <c r="E13" s="27"/>
      <c r="F13" s="27"/>
      <c r="G13" s="27"/>
      <c r="H13" s="27"/>
      <c r="I13" s="28"/>
      <c r="J13" s="28"/>
      <c r="K13" s="9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5">
        <f t="shared" si="3"/>
        <v>4058.8000000000006</v>
      </c>
      <c r="Q13" s="21"/>
      <c r="R13" s="22">
        <v>4058.8</v>
      </c>
    </row>
    <row r="14" spans="1:19" x14ac:dyDescent="0.25">
      <c r="A14">
        <v>8</v>
      </c>
      <c r="B14" s="13" t="s">
        <v>4</v>
      </c>
      <c r="C14" s="11">
        <f>12373.16+6310.31</f>
        <v>18683.47</v>
      </c>
      <c r="D14" s="24">
        <f>1237.32+30+4949.26</f>
        <v>6216.58</v>
      </c>
      <c r="E14" s="27"/>
      <c r="F14" s="27"/>
      <c r="G14" s="27"/>
      <c r="H14" s="27"/>
      <c r="I14" s="28"/>
      <c r="J14" s="28"/>
      <c r="K14" s="9">
        <f t="shared" si="0"/>
        <v>24900.050000000003</v>
      </c>
      <c r="L14" s="3">
        <v>5771.36</v>
      </c>
      <c r="M14" s="3">
        <v>751.97</v>
      </c>
      <c r="N14" s="2">
        <f>K14-L14-M14-R14</f>
        <v>105.30000000000291</v>
      </c>
      <c r="O14" s="2">
        <f t="shared" si="2"/>
        <v>6628.6300000000028</v>
      </c>
      <c r="P14" s="15">
        <f t="shared" si="3"/>
        <v>18271.419999999998</v>
      </c>
      <c r="Q14" s="21"/>
      <c r="R14" s="22">
        <v>18271.419999999998</v>
      </c>
    </row>
    <row r="15" spans="1:19" x14ac:dyDescent="0.25">
      <c r="A15">
        <v>9</v>
      </c>
      <c r="B15" s="13" t="s">
        <v>5</v>
      </c>
      <c r="C15" s="11">
        <f>12373.16+3810.93</f>
        <v>16184.09</v>
      </c>
      <c r="D15" s="24">
        <v>4949.26</v>
      </c>
      <c r="E15" s="27"/>
      <c r="F15" s="27"/>
      <c r="G15" s="27"/>
      <c r="H15" s="27"/>
      <c r="I15" s="28"/>
      <c r="J15" s="28"/>
      <c r="K15" s="9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5">
        <f t="shared" si="3"/>
        <v>15538.309999999998</v>
      </c>
      <c r="Q15" s="21"/>
      <c r="R15" s="22">
        <v>15538.31</v>
      </c>
    </row>
    <row r="16" spans="1:19" x14ac:dyDescent="0.25">
      <c r="A16">
        <v>10</v>
      </c>
      <c r="B16" s="13" t="s">
        <v>6</v>
      </c>
      <c r="C16" s="11">
        <v>2670.44</v>
      </c>
      <c r="D16" s="24"/>
      <c r="E16" s="27"/>
      <c r="F16" s="21"/>
      <c r="H16" s="27"/>
      <c r="I16" s="28"/>
      <c r="J16" s="28"/>
      <c r="K16" s="9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5">
        <f t="shared" si="3"/>
        <v>2374.37</v>
      </c>
      <c r="Q16" s="21"/>
      <c r="R16" s="22">
        <v>2374.37</v>
      </c>
    </row>
    <row r="17" spans="1:18" x14ac:dyDescent="0.25">
      <c r="A17">
        <v>11</v>
      </c>
      <c r="B17" s="13" t="s">
        <v>7</v>
      </c>
      <c r="C17" s="11">
        <v>2482.2600000000002</v>
      </c>
      <c r="D17" s="24"/>
      <c r="E17" s="27"/>
      <c r="F17" s="27"/>
      <c r="G17" s="27"/>
      <c r="H17" s="27"/>
      <c r="I17" s="28"/>
      <c r="J17" s="28"/>
      <c r="K17" s="9">
        <f t="shared" si="8"/>
        <v>2482.2600000000002</v>
      </c>
      <c r="L17" s="3">
        <v>27.22</v>
      </c>
      <c r="M17" s="3">
        <v>215.26</v>
      </c>
      <c r="N17" s="2">
        <f t="shared" si="9"/>
        <v>64.130000000000564</v>
      </c>
      <c r="O17" s="2">
        <f t="shared" si="2"/>
        <v>306.61000000000058</v>
      </c>
      <c r="P17" s="15">
        <f t="shared" si="3"/>
        <v>2175.6499999999996</v>
      </c>
      <c r="Q17" s="21"/>
      <c r="R17" s="22">
        <v>2175.65</v>
      </c>
    </row>
    <row r="18" spans="1:18" x14ac:dyDescent="0.25">
      <c r="A18">
        <v>12</v>
      </c>
      <c r="B18" s="13" t="s">
        <v>61</v>
      </c>
      <c r="C18" s="11">
        <f>958.65+19.17</f>
        <v>977.81999999999994</v>
      </c>
      <c r="D18" s="24"/>
      <c r="E18" s="27"/>
      <c r="F18" s="27">
        <f>1879.71+37.59+639.1+51.13</f>
        <v>2607.5300000000002</v>
      </c>
      <c r="G18" s="27"/>
      <c r="H18" s="27"/>
      <c r="I18" s="28"/>
      <c r="J18" s="28"/>
      <c r="K18" s="9">
        <f t="shared" si="8"/>
        <v>3585.3500000000004</v>
      </c>
      <c r="L18" s="3">
        <v>17.899999999999999</v>
      </c>
      <c r="M18" s="3">
        <f>129.06+224.16</f>
        <v>353.22</v>
      </c>
      <c r="N18" s="2">
        <f t="shared" si="9"/>
        <v>2565.6900000000005</v>
      </c>
      <c r="O18" s="2">
        <f t="shared" si="2"/>
        <v>2936.8100000000004</v>
      </c>
      <c r="P18" s="15">
        <f t="shared" si="3"/>
        <v>648.54</v>
      </c>
      <c r="Q18" s="21"/>
      <c r="R18" s="22">
        <v>648.54</v>
      </c>
    </row>
    <row r="19" spans="1:18" x14ac:dyDescent="0.25">
      <c r="A19">
        <v>13</v>
      </c>
      <c r="B19" s="13" t="s">
        <v>8</v>
      </c>
      <c r="C19" s="11">
        <f>2111.83+413.92</f>
        <v>2525.75</v>
      </c>
      <c r="D19" s="24">
        <v>844.73</v>
      </c>
      <c r="E19" s="27"/>
      <c r="F19" s="27">
        <f>1242.26+3105.64+608.71+1652.2+132.18</f>
        <v>6740.99</v>
      </c>
      <c r="G19" s="27"/>
      <c r="H19" s="27"/>
      <c r="I19" s="28"/>
      <c r="J19" s="28"/>
      <c r="K19" s="9">
        <f t="shared" si="8"/>
        <v>10111.469999999999</v>
      </c>
      <c r="L19" s="3">
        <f>85.28+584.86</f>
        <v>670.14</v>
      </c>
      <c r="M19" s="3">
        <v>751.97</v>
      </c>
      <c r="N19" s="2">
        <f t="shared" si="9"/>
        <v>5786.2300000000005</v>
      </c>
      <c r="O19" s="2">
        <f t="shared" si="2"/>
        <v>7208.34</v>
      </c>
      <c r="P19" s="15">
        <f t="shared" si="3"/>
        <v>2903.1299999999992</v>
      </c>
      <c r="Q19" s="21"/>
      <c r="R19" s="22">
        <v>2903.13</v>
      </c>
    </row>
    <row r="20" spans="1:18" x14ac:dyDescent="0.25">
      <c r="A20">
        <v>14</v>
      </c>
      <c r="B20" s="13" t="s">
        <v>9</v>
      </c>
      <c r="C20" s="11">
        <v>2695.17</v>
      </c>
      <c r="D20" s="24"/>
      <c r="E20" s="27"/>
      <c r="F20" s="27"/>
      <c r="G20" s="27"/>
      <c r="H20" s="27"/>
      <c r="I20" s="28"/>
      <c r="J20" s="28"/>
      <c r="K20" s="9">
        <f t="shared" si="8"/>
        <v>2695.17</v>
      </c>
      <c r="L20" s="3">
        <v>41.28</v>
      </c>
      <c r="M20" s="3">
        <v>240.81</v>
      </c>
      <c r="N20" s="2">
        <f t="shared" si="9"/>
        <v>6.4699999999997999</v>
      </c>
      <c r="O20" s="2">
        <f t="shared" si="2"/>
        <v>288.55999999999983</v>
      </c>
      <c r="P20" s="15">
        <f t="shared" si="3"/>
        <v>2406.61</v>
      </c>
      <c r="Q20" s="21"/>
      <c r="R20" s="22">
        <v>2406.61</v>
      </c>
    </row>
    <row r="21" spans="1:18" x14ac:dyDescent="0.25">
      <c r="A21">
        <v>15</v>
      </c>
      <c r="B21" s="13" t="s">
        <v>10</v>
      </c>
      <c r="C21" s="11">
        <f>13629.26+8007.19</f>
        <v>21636.45</v>
      </c>
      <c r="D21" s="24">
        <v>18399.5</v>
      </c>
      <c r="E21" s="27"/>
      <c r="F21" s="27"/>
      <c r="G21" s="27"/>
      <c r="H21" s="27"/>
      <c r="I21" s="28"/>
      <c r="J21" s="28"/>
      <c r="K21" s="9">
        <f t="shared" si="8"/>
        <v>40035.949999999997</v>
      </c>
      <c r="L21" s="3">
        <v>9933.73</v>
      </c>
      <c r="M21" s="3">
        <v>751.97</v>
      </c>
      <c r="N21" s="2">
        <f t="shared" si="9"/>
        <v>285.64999999999782</v>
      </c>
      <c r="O21" s="2">
        <f t="shared" si="2"/>
        <v>10971.349999999997</v>
      </c>
      <c r="P21" s="15">
        <f t="shared" si="3"/>
        <v>29064.6</v>
      </c>
      <c r="Q21" s="21"/>
      <c r="R21" s="22">
        <v>29064.6</v>
      </c>
    </row>
    <row r="22" spans="1:18" x14ac:dyDescent="0.25">
      <c r="A22">
        <v>16</v>
      </c>
      <c r="B22" s="13" t="s">
        <v>11</v>
      </c>
      <c r="C22" s="11">
        <f>12373.16+4008.9</f>
        <v>16382.06</v>
      </c>
      <c r="D22" s="24">
        <v>2474.63</v>
      </c>
      <c r="E22" s="27"/>
      <c r="F22" s="27"/>
      <c r="G22" s="27"/>
      <c r="H22" s="27"/>
      <c r="I22" s="28"/>
      <c r="J22" s="28"/>
      <c r="K22" s="9">
        <f t="shared" si="8"/>
        <v>18856.689999999999</v>
      </c>
      <c r="L22" s="3">
        <v>4057.3</v>
      </c>
      <c r="M22" s="3">
        <v>751.97</v>
      </c>
      <c r="N22" s="2">
        <f t="shared" si="9"/>
        <v>2265.84</v>
      </c>
      <c r="O22" s="2">
        <f t="shared" si="2"/>
        <v>7075.1100000000006</v>
      </c>
      <c r="P22" s="15">
        <f t="shared" si="3"/>
        <v>11781.579999999998</v>
      </c>
      <c r="Q22" s="21"/>
      <c r="R22" s="22">
        <v>11781.58</v>
      </c>
    </row>
    <row r="23" spans="1:18" x14ac:dyDescent="0.25">
      <c r="A23">
        <v>17</v>
      </c>
      <c r="B23" s="13" t="s">
        <v>12</v>
      </c>
      <c r="C23" s="11">
        <v>6733</v>
      </c>
      <c r="D23" s="24"/>
      <c r="E23" s="27"/>
      <c r="F23" s="27"/>
      <c r="G23" s="27"/>
      <c r="H23" s="27"/>
      <c r="I23" s="28"/>
      <c r="J23" s="28"/>
      <c r="K23" s="9">
        <f t="shared" si="8"/>
        <v>6733</v>
      </c>
      <c r="L23" s="3">
        <v>671.15</v>
      </c>
      <c r="M23" s="3">
        <v>751.97</v>
      </c>
      <c r="N23" s="2">
        <f t="shared" si="9"/>
        <v>1321.5100000000002</v>
      </c>
      <c r="O23" s="2">
        <f t="shared" si="2"/>
        <v>2744.63</v>
      </c>
      <c r="P23" s="15">
        <f t="shared" si="3"/>
        <v>3988.37</v>
      </c>
      <c r="Q23" s="21"/>
      <c r="R23" s="22">
        <v>3988.37</v>
      </c>
    </row>
    <row r="24" spans="1:18" x14ac:dyDescent="0.25">
      <c r="A24">
        <v>18</v>
      </c>
      <c r="B24" s="13" t="s">
        <v>74</v>
      </c>
      <c r="C24" s="11">
        <v>1943.53</v>
      </c>
      <c r="D24" s="24"/>
      <c r="E24" s="27"/>
      <c r="F24" s="27"/>
      <c r="G24" s="27"/>
      <c r="H24" s="27"/>
      <c r="I24" s="28"/>
      <c r="J24" s="28"/>
      <c r="K24" s="9">
        <f t="shared" si="8"/>
        <v>1943.53</v>
      </c>
      <c r="L24" s="3"/>
      <c r="M24" s="3">
        <v>158.41</v>
      </c>
      <c r="N24" s="2">
        <f t="shared" ref="N24" si="10">K24-L24-M24-R24</f>
        <v>6.4699999999997999</v>
      </c>
      <c r="O24" s="2">
        <f t="shared" ref="O24" si="11">SUM(L24:N24)</f>
        <v>164.8799999999998</v>
      </c>
      <c r="P24" s="15">
        <f t="shared" ref="P24" si="12">SUM(K24-O24)</f>
        <v>1778.65</v>
      </c>
      <c r="Q24" s="21"/>
      <c r="R24" s="22">
        <v>1778.65</v>
      </c>
    </row>
    <row r="25" spans="1:18" x14ac:dyDescent="0.25">
      <c r="A25">
        <v>19</v>
      </c>
      <c r="B25" s="13" t="s">
        <v>55</v>
      </c>
      <c r="C25" s="11">
        <f>2985.98+119.44</f>
        <v>3105.42</v>
      </c>
      <c r="D25" s="24">
        <v>30</v>
      </c>
      <c r="E25" s="27"/>
      <c r="F25" s="27"/>
      <c r="G25" s="27"/>
      <c r="H25" s="27"/>
      <c r="I25" s="28"/>
      <c r="J25" s="28"/>
      <c r="K25" s="9">
        <f t="shared" si="8"/>
        <v>3135.42</v>
      </c>
      <c r="L25" s="3">
        <v>71.47</v>
      </c>
      <c r="M25" s="3">
        <v>293.64</v>
      </c>
      <c r="N25" s="2">
        <f t="shared" si="9"/>
        <v>134.13000000000056</v>
      </c>
      <c r="O25" s="2">
        <f t="shared" si="2"/>
        <v>499.24000000000058</v>
      </c>
      <c r="P25" s="15">
        <f t="shared" si="3"/>
        <v>2636.1799999999994</v>
      </c>
      <c r="Q25" s="21"/>
      <c r="R25" s="22">
        <v>2636.18</v>
      </c>
    </row>
    <row r="26" spans="1:18" x14ac:dyDescent="0.25">
      <c r="A26">
        <v>20</v>
      </c>
      <c r="B26" s="13" t="s">
        <v>84</v>
      </c>
      <c r="C26" s="11">
        <v>0</v>
      </c>
      <c r="D26" s="24"/>
      <c r="E26" s="27"/>
      <c r="F26" s="27"/>
      <c r="G26" s="27"/>
      <c r="H26" s="27"/>
      <c r="I26" s="28"/>
      <c r="J26" s="28"/>
      <c r="K26" s="9">
        <f t="shared" si="8"/>
        <v>0</v>
      </c>
      <c r="L26" s="3"/>
      <c r="M26" s="3"/>
      <c r="N26" s="2">
        <f t="shared" si="9"/>
        <v>0</v>
      </c>
      <c r="O26" s="2">
        <f t="shared" si="2"/>
        <v>0</v>
      </c>
      <c r="P26" s="15">
        <f t="shared" si="3"/>
        <v>0</v>
      </c>
      <c r="Q26" s="21"/>
      <c r="R26" s="22"/>
    </row>
    <row r="27" spans="1:18" x14ac:dyDescent="0.25">
      <c r="A27">
        <v>21</v>
      </c>
      <c r="B27" s="13" t="s">
        <v>13</v>
      </c>
      <c r="C27" s="11">
        <v>7170.91</v>
      </c>
      <c r="D27" s="24"/>
      <c r="E27" s="27"/>
      <c r="F27" s="27"/>
      <c r="G27" s="27"/>
      <c r="H27" s="27"/>
      <c r="I27" s="28"/>
      <c r="J27" s="28"/>
      <c r="K27" s="9">
        <f t="shared" si="8"/>
        <v>7170.91</v>
      </c>
      <c r="L27" s="3">
        <v>791.57</v>
      </c>
      <c r="M27" s="3">
        <v>751.97</v>
      </c>
      <c r="N27" s="2">
        <f t="shared" si="9"/>
        <v>6.4700000000002547</v>
      </c>
      <c r="O27" s="2">
        <f t="shared" si="2"/>
        <v>1550.0100000000002</v>
      </c>
      <c r="P27" s="15">
        <f>SUM(K27-O27)+H27</f>
        <v>5620.9</v>
      </c>
      <c r="Q27" s="21"/>
      <c r="R27" s="22">
        <v>5620.9</v>
      </c>
    </row>
    <row r="28" spans="1:18" x14ac:dyDescent="0.25">
      <c r="A28">
        <v>22</v>
      </c>
      <c r="B28" s="13" t="s">
        <v>14</v>
      </c>
      <c r="C28" s="11">
        <v>7810.09</v>
      </c>
      <c r="D28" s="24"/>
      <c r="E28" s="27"/>
      <c r="F28" s="27"/>
      <c r="G28" s="27"/>
      <c r="H28" s="27"/>
      <c r="I28" s="28"/>
      <c r="J28" s="28"/>
      <c r="K28" s="9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5">
        <f t="shared" si="3"/>
        <v>5980.03</v>
      </c>
      <c r="Q28" s="21"/>
      <c r="R28" s="22">
        <v>5980.03</v>
      </c>
    </row>
    <row r="29" spans="1:18" x14ac:dyDescent="0.25">
      <c r="A29">
        <v>23</v>
      </c>
      <c r="B29" s="13" t="s">
        <v>15</v>
      </c>
      <c r="C29" s="11">
        <v>2598.85</v>
      </c>
      <c r="D29" s="24"/>
      <c r="E29" s="27"/>
      <c r="F29" s="27"/>
      <c r="G29" s="27"/>
      <c r="H29" s="27"/>
      <c r="I29" s="28"/>
      <c r="J29" s="28"/>
      <c r="K29" s="9">
        <f t="shared" si="8"/>
        <v>2598.85</v>
      </c>
      <c r="L29" s="3">
        <v>34.92</v>
      </c>
      <c r="M29" s="3">
        <v>229.25</v>
      </c>
      <c r="N29" s="2">
        <f t="shared" si="9"/>
        <v>783.69999999999982</v>
      </c>
      <c r="O29" s="2">
        <f t="shared" si="2"/>
        <v>1047.8699999999999</v>
      </c>
      <c r="P29" s="15">
        <f t="shared" si="3"/>
        <v>1550.98</v>
      </c>
      <c r="Q29" s="21"/>
      <c r="R29" s="22">
        <v>1550.98</v>
      </c>
    </row>
    <row r="30" spans="1:18" x14ac:dyDescent="0.25">
      <c r="A30">
        <v>24</v>
      </c>
      <c r="B30" s="13" t="s">
        <v>16</v>
      </c>
      <c r="C30" s="11">
        <v>5695.51</v>
      </c>
      <c r="D30" s="24">
        <v>1000</v>
      </c>
      <c r="E30" s="27"/>
      <c r="F30" s="27"/>
      <c r="G30" s="27"/>
      <c r="H30" s="27"/>
      <c r="I30" s="28"/>
      <c r="J30" s="28"/>
      <c r="K30" s="9">
        <f t="shared" si="8"/>
        <v>6695.51</v>
      </c>
      <c r="L30" s="3">
        <v>660.84</v>
      </c>
      <c r="M30" s="3">
        <v>751.97</v>
      </c>
      <c r="N30" s="2">
        <f t="shared" si="9"/>
        <v>669</v>
      </c>
      <c r="O30" s="2">
        <f t="shared" si="2"/>
        <v>2081.81</v>
      </c>
      <c r="P30" s="15">
        <f t="shared" si="3"/>
        <v>4613.7000000000007</v>
      </c>
      <c r="Q30" s="21"/>
      <c r="R30" s="22">
        <v>4613.7</v>
      </c>
    </row>
    <row r="31" spans="1:18" x14ac:dyDescent="0.25">
      <c r="A31">
        <v>25</v>
      </c>
      <c r="B31" s="13" t="s">
        <v>17</v>
      </c>
      <c r="C31" s="11">
        <f>2498.01+774.38</f>
        <v>3272.3900000000003</v>
      </c>
      <c r="D31" s="24">
        <f>2449.03+759.2+1069.41+85.55</f>
        <v>4363.1900000000005</v>
      </c>
      <c r="E31" s="27"/>
      <c r="F31" s="27"/>
      <c r="G31" s="27"/>
      <c r="H31" s="27"/>
      <c r="I31" s="28"/>
      <c r="J31" s="28"/>
      <c r="K31" s="9">
        <f t="shared" si="8"/>
        <v>7635.5800000000008</v>
      </c>
      <c r="L31" s="3">
        <f>103.62+225.06</f>
        <v>328.68</v>
      </c>
      <c r="M31" s="3">
        <f>301.83+450.14</f>
        <v>751.97</v>
      </c>
      <c r="N31" s="2">
        <f t="shared" si="9"/>
        <v>3840.57</v>
      </c>
      <c r="O31" s="2">
        <f t="shared" si="2"/>
        <v>4921.22</v>
      </c>
      <c r="P31" s="15">
        <f t="shared" si="3"/>
        <v>2714.3600000000006</v>
      </c>
      <c r="Q31" s="21"/>
      <c r="R31" s="22">
        <v>2714.36</v>
      </c>
    </row>
    <row r="32" spans="1:18" x14ac:dyDescent="0.25">
      <c r="A32">
        <v>26</v>
      </c>
      <c r="B32" s="13" t="s">
        <v>59</v>
      </c>
      <c r="C32" s="11">
        <v>4823.57</v>
      </c>
      <c r="D32" s="24"/>
      <c r="E32" s="27"/>
      <c r="F32" s="27"/>
      <c r="G32" s="27"/>
      <c r="H32" s="27"/>
      <c r="I32" s="28"/>
      <c r="J32" s="28"/>
      <c r="K32" s="9">
        <f>SUM(C32:I32)</f>
        <v>4823.57</v>
      </c>
      <c r="L32" s="3">
        <v>330.7</v>
      </c>
      <c r="M32" s="3">
        <v>526.57000000000005</v>
      </c>
      <c r="N32" s="2">
        <f t="shared" ref="N32" si="13">K32-L32-M32-R32</f>
        <v>41.409999999999854</v>
      </c>
      <c r="O32" s="2">
        <f t="shared" ref="O32" si="14">SUM(L32:N32)</f>
        <v>898.67999999999984</v>
      </c>
      <c r="P32" s="15">
        <f>SUM(K32-O32)+H32</f>
        <v>3924.89</v>
      </c>
      <c r="Q32" s="21"/>
      <c r="R32" s="22">
        <v>3924.89</v>
      </c>
    </row>
    <row r="33" spans="1:18" x14ac:dyDescent="0.25">
      <c r="A33">
        <v>27</v>
      </c>
      <c r="B33" s="13" t="s">
        <v>18</v>
      </c>
      <c r="C33" s="11">
        <v>2307</v>
      </c>
      <c r="D33" s="24"/>
      <c r="E33" s="27"/>
      <c r="F33" s="27"/>
      <c r="G33" s="27"/>
      <c r="H33" s="27"/>
      <c r="I33" s="28"/>
      <c r="J33" s="28"/>
      <c r="K33" s="9">
        <f>SUM(C33:I33)</f>
        <v>2307</v>
      </c>
      <c r="L33" s="3"/>
      <c r="M33" s="3">
        <v>152.83000000000001</v>
      </c>
      <c r="N33" s="2">
        <f t="shared" si="9"/>
        <v>544.15000000000009</v>
      </c>
      <c r="O33" s="2">
        <f t="shared" si="2"/>
        <v>696.98000000000013</v>
      </c>
      <c r="P33" s="15">
        <f>SUM(K33-O33)+H33</f>
        <v>1610.02</v>
      </c>
      <c r="Q33" s="21"/>
      <c r="R33" s="22">
        <v>1610.02</v>
      </c>
    </row>
    <row r="34" spans="1:18" x14ac:dyDescent="0.25">
      <c r="A34">
        <v>28</v>
      </c>
      <c r="B34" s="13" t="s">
        <v>19</v>
      </c>
      <c r="C34" s="11">
        <f>5274.51+759.53</f>
        <v>6034.04</v>
      </c>
      <c r="D34" s="24">
        <v>1054.9000000000001</v>
      </c>
      <c r="E34" s="27"/>
      <c r="F34" s="27"/>
      <c r="G34" s="27"/>
      <c r="H34" s="27"/>
      <c r="I34" s="28"/>
      <c r="J34" s="28"/>
      <c r="K34" s="9">
        <f>SUM(C34:I34)</f>
        <v>7088.9400000000005</v>
      </c>
      <c r="L34" s="3">
        <v>873.31</v>
      </c>
      <c r="M34" s="3">
        <v>751.97</v>
      </c>
      <c r="N34" s="2">
        <f t="shared" si="9"/>
        <v>66.410000000000764</v>
      </c>
      <c r="O34" s="2">
        <f t="shared" si="2"/>
        <v>1691.6900000000007</v>
      </c>
      <c r="P34" s="15">
        <f t="shared" si="3"/>
        <v>5397.25</v>
      </c>
      <c r="Q34" s="21"/>
      <c r="R34" s="22">
        <v>5397.25</v>
      </c>
    </row>
    <row r="35" spans="1:18" x14ac:dyDescent="0.25">
      <c r="A35">
        <v>29</v>
      </c>
      <c r="B35" s="13" t="s">
        <v>20</v>
      </c>
      <c r="C35" s="11">
        <f>12373.16+3711.95</f>
        <v>16085.11</v>
      </c>
      <c r="D35" s="24">
        <v>2474.63</v>
      </c>
      <c r="E35" s="27"/>
      <c r="F35" s="27"/>
      <c r="G35" s="27"/>
      <c r="H35" s="27"/>
      <c r="I35" s="28"/>
      <c r="J35" s="28"/>
      <c r="K35" s="9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5">
        <f t="shared" si="3"/>
        <v>13825.66</v>
      </c>
      <c r="Q35" s="21"/>
      <c r="R35" s="22">
        <v>13825.66</v>
      </c>
    </row>
    <row r="36" spans="1:18" x14ac:dyDescent="0.25">
      <c r="A36">
        <v>30</v>
      </c>
      <c r="B36" s="13" t="s">
        <v>60</v>
      </c>
      <c r="C36" s="11">
        <f>2762.17+364.61</f>
        <v>3126.78</v>
      </c>
      <c r="D36" s="24">
        <v>552.42999999999995</v>
      </c>
      <c r="E36" s="27"/>
      <c r="F36" s="27">
        <f>473.9+2369.51+312.78+1052.06+84.17</f>
        <v>4292.42</v>
      </c>
      <c r="G36" s="27"/>
      <c r="H36" s="27"/>
      <c r="I36" s="28"/>
      <c r="J36" s="28"/>
      <c r="K36" s="9">
        <f t="shared" si="15"/>
        <v>7971.63</v>
      </c>
      <c r="L36" s="3">
        <f>162.98+211.63</f>
        <v>374.61</v>
      </c>
      <c r="M36" s="3">
        <f>311.54+440.43</f>
        <v>751.97</v>
      </c>
      <c r="N36" s="2">
        <f t="shared" si="9"/>
        <v>3792.13</v>
      </c>
      <c r="O36" s="2">
        <f t="shared" si="2"/>
        <v>4918.71</v>
      </c>
      <c r="P36" s="15">
        <f t="shared" si="3"/>
        <v>3052.92</v>
      </c>
      <c r="Q36" s="21"/>
      <c r="R36" s="22">
        <v>3052.92</v>
      </c>
    </row>
    <row r="37" spans="1:18" x14ac:dyDescent="0.25">
      <c r="A37">
        <v>31</v>
      </c>
      <c r="B37" s="13" t="s">
        <v>21</v>
      </c>
      <c r="C37" s="11">
        <f>4903.8+411.92</f>
        <v>5315.72</v>
      </c>
      <c r="D37" s="24">
        <v>980.76</v>
      </c>
      <c r="E37" s="27"/>
      <c r="F37" s="27"/>
      <c r="G37" s="27"/>
      <c r="H37" s="27"/>
      <c r="I37" s="28"/>
      <c r="J37" s="28"/>
      <c r="K37" s="9">
        <f t="shared" si="15"/>
        <v>6296.4800000000005</v>
      </c>
      <c r="L37" s="3">
        <v>556.38</v>
      </c>
      <c r="M37" s="3">
        <v>732.78</v>
      </c>
      <c r="N37" s="2">
        <f t="shared" si="9"/>
        <v>1709.8300000000008</v>
      </c>
      <c r="O37" s="2">
        <f t="shared" si="2"/>
        <v>2998.9900000000007</v>
      </c>
      <c r="P37" s="15">
        <f>SUM(K37-O37)+H37</f>
        <v>3297.49</v>
      </c>
      <c r="Q37" s="21"/>
      <c r="R37" s="22">
        <v>3297.49</v>
      </c>
    </row>
    <row r="38" spans="1:18" x14ac:dyDescent="0.25">
      <c r="A38">
        <v>32</v>
      </c>
      <c r="B38" s="13" t="s">
        <v>57</v>
      </c>
      <c r="C38" s="11">
        <v>2076.36</v>
      </c>
      <c r="D38" s="24"/>
      <c r="E38" s="27"/>
      <c r="F38" s="27"/>
      <c r="G38" s="27"/>
      <c r="H38" s="27"/>
      <c r="I38" s="28"/>
      <c r="J38" s="28"/>
      <c r="K38" s="9">
        <f t="shared" si="15"/>
        <v>2076.36</v>
      </c>
      <c r="L38" s="3"/>
      <c r="M38" s="3">
        <v>170.37</v>
      </c>
      <c r="N38" s="2">
        <f t="shared" ref="N38" si="16">K38-L38-M38-R38</f>
        <v>16.350000000000136</v>
      </c>
      <c r="O38" s="2">
        <f t="shared" ref="O38" si="17">SUM(L38:N38)</f>
        <v>186.72000000000014</v>
      </c>
      <c r="P38" s="15">
        <f t="shared" ref="P38" si="18">SUM(K38-O38)</f>
        <v>1889.6399999999999</v>
      </c>
      <c r="Q38" s="21"/>
      <c r="R38" s="22">
        <v>1889.64</v>
      </c>
    </row>
    <row r="39" spans="1:18" x14ac:dyDescent="0.25">
      <c r="A39">
        <v>33</v>
      </c>
      <c r="B39" s="13" t="s">
        <v>22</v>
      </c>
      <c r="C39" s="11">
        <f>2436.68+292.4</f>
        <v>2729.08</v>
      </c>
      <c r="D39" s="24"/>
      <c r="E39" s="27"/>
      <c r="F39" s="27">
        <f>477.78+57.33+178.37+14.27</f>
        <v>727.75</v>
      </c>
      <c r="G39" s="27">
        <f>955.56+114.67+356.74+28.54</f>
        <v>1455.51</v>
      </c>
      <c r="H39" s="27"/>
      <c r="I39" s="28"/>
      <c r="J39" s="28"/>
      <c r="K39" s="9">
        <f t="shared" si="15"/>
        <v>4912.34</v>
      </c>
      <c r="L39" s="3">
        <v>41.82</v>
      </c>
      <c r="M39" s="3">
        <f>281.72+53.51</f>
        <v>335.23</v>
      </c>
      <c r="N39" s="2">
        <f t="shared" si="9"/>
        <v>2929.9900000000007</v>
      </c>
      <c r="O39" s="2">
        <f t="shared" si="2"/>
        <v>3307.0400000000009</v>
      </c>
      <c r="P39" s="15">
        <f t="shared" si="3"/>
        <v>1605.2999999999993</v>
      </c>
      <c r="Q39" s="21"/>
      <c r="R39" s="22">
        <v>1605.3</v>
      </c>
    </row>
    <row r="40" spans="1:18" x14ac:dyDescent="0.25">
      <c r="A40">
        <v>34</v>
      </c>
      <c r="B40" s="13" t="s">
        <v>23</v>
      </c>
      <c r="C40" s="11">
        <f>12373.16+3860.43</f>
        <v>16233.59</v>
      </c>
      <c r="D40" s="24">
        <v>2474.63</v>
      </c>
      <c r="E40" s="27"/>
      <c r="F40" s="27"/>
      <c r="G40" s="27"/>
      <c r="H40" s="27"/>
      <c r="I40" s="28"/>
      <c r="J40" s="28"/>
      <c r="K40" s="9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5">
        <f t="shared" si="3"/>
        <v>13912.45</v>
      </c>
      <c r="Q40" s="21"/>
      <c r="R40" s="22">
        <v>13912.45</v>
      </c>
    </row>
    <row r="41" spans="1:18" x14ac:dyDescent="0.25">
      <c r="A41">
        <v>35</v>
      </c>
      <c r="B41" s="34" t="s">
        <v>24</v>
      </c>
      <c r="C41" s="35">
        <v>2301.0500000000002</v>
      </c>
      <c r="D41" s="25"/>
      <c r="E41" s="36"/>
      <c r="F41" s="36"/>
      <c r="G41" s="36"/>
      <c r="H41" s="36"/>
      <c r="I41" s="33"/>
      <c r="J41" s="33"/>
      <c r="K41" s="37">
        <f t="shared" ref="K41:K49" si="19">SUM(C41:I41)</f>
        <v>2301.0500000000002</v>
      </c>
      <c r="L41" s="38">
        <v>15.27</v>
      </c>
      <c r="M41" s="38">
        <v>193.51</v>
      </c>
      <c r="N41" s="39">
        <f t="shared" ref="N41:N60" si="20">K41-L41-M41-R41</f>
        <v>868.58000000000038</v>
      </c>
      <c r="O41" s="39">
        <f t="shared" si="2"/>
        <v>1077.3600000000004</v>
      </c>
      <c r="P41" s="40">
        <f t="shared" si="3"/>
        <v>1223.6899999999998</v>
      </c>
      <c r="Q41" s="21"/>
      <c r="R41" s="22">
        <v>1223.69</v>
      </c>
    </row>
    <row r="42" spans="1:18" x14ac:dyDescent="0.25">
      <c r="A42">
        <v>36</v>
      </c>
      <c r="B42" s="13" t="s">
        <v>25</v>
      </c>
      <c r="C42" s="11">
        <f>2105.03+442.06</f>
        <v>2547.09</v>
      </c>
      <c r="D42" s="24"/>
      <c r="E42" s="27"/>
      <c r="F42" s="27">
        <f>1578.17+331.41+636.53+50.92</f>
        <v>2597.0300000000002</v>
      </c>
      <c r="G42" s="27"/>
      <c r="H42" s="27"/>
      <c r="I42" s="29"/>
      <c r="J42" s="29"/>
      <c r="K42" s="9">
        <f t="shared" si="19"/>
        <v>5144.1200000000008</v>
      </c>
      <c r="L42" s="3">
        <f>25.91+31.44</f>
        <v>57.35</v>
      </c>
      <c r="M42" s="3">
        <f>348.53+222.92</f>
        <v>571.44999999999993</v>
      </c>
      <c r="N42" s="2">
        <f t="shared" si="20"/>
        <v>2743.0400000000009</v>
      </c>
      <c r="O42" s="2">
        <f t="shared" si="2"/>
        <v>3371.8400000000011</v>
      </c>
      <c r="P42" s="15">
        <f t="shared" si="3"/>
        <v>1772.2799999999997</v>
      </c>
      <c r="Q42" s="21"/>
      <c r="R42" s="22">
        <v>1772.28</v>
      </c>
    </row>
    <row r="43" spans="1:18" x14ac:dyDescent="0.25">
      <c r="A43">
        <v>37</v>
      </c>
      <c r="B43" s="13" t="s">
        <v>26</v>
      </c>
      <c r="C43" s="11">
        <f>6807.25+953.02</f>
        <v>7760.27</v>
      </c>
      <c r="D43" s="24"/>
      <c r="E43" s="27"/>
      <c r="F43" s="27">
        <f>1334.76+186.87+507.21+40.58</f>
        <v>2069.42</v>
      </c>
      <c r="G43" s="27"/>
      <c r="H43" s="27"/>
      <c r="I43" s="29">
        <v>6184.03</v>
      </c>
      <c r="J43" s="29"/>
      <c r="K43" s="9">
        <f t="shared" si="19"/>
        <v>16013.720000000001</v>
      </c>
      <c r="L43" s="3">
        <v>2763.23</v>
      </c>
      <c r="M43" s="3">
        <f>585.88+166.09</f>
        <v>751.97</v>
      </c>
      <c r="N43" s="2">
        <f t="shared" si="20"/>
        <v>2539.0400000000027</v>
      </c>
      <c r="O43" s="2">
        <f t="shared" si="2"/>
        <v>6054.2400000000025</v>
      </c>
      <c r="P43" s="15">
        <f t="shared" si="3"/>
        <v>9959.48</v>
      </c>
      <c r="Q43" s="21"/>
      <c r="R43" s="22">
        <v>9959.48</v>
      </c>
    </row>
    <row r="44" spans="1:18" x14ac:dyDescent="0.25">
      <c r="A44">
        <v>38</v>
      </c>
      <c r="B44" s="13" t="s">
        <v>27</v>
      </c>
      <c r="C44" s="11">
        <v>8433.84</v>
      </c>
      <c r="D44" s="24">
        <v>6000</v>
      </c>
      <c r="E44" s="27"/>
      <c r="F44" s="27"/>
      <c r="G44" s="27"/>
      <c r="H44" s="27"/>
      <c r="I44" s="29"/>
      <c r="J44" s="29"/>
      <c r="K44" s="9">
        <f t="shared" si="19"/>
        <v>14433.84</v>
      </c>
      <c r="L44" s="3">
        <v>2841.02</v>
      </c>
      <c r="M44" s="3">
        <v>751.97</v>
      </c>
      <c r="N44" s="2">
        <f>K44-L44-M44-R44</f>
        <v>879.90999999999985</v>
      </c>
      <c r="O44" s="2">
        <f>SUM(L44:N44)</f>
        <v>4472.8999999999996</v>
      </c>
      <c r="P44" s="15">
        <f t="shared" si="3"/>
        <v>9960.94</v>
      </c>
      <c r="Q44" s="21"/>
      <c r="R44" s="22">
        <v>9960.94</v>
      </c>
    </row>
    <row r="45" spans="1:18" x14ac:dyDescent="0.25">
      <c r="A45">
        <v>39</v>
      </c>
      <c r="B45" s="13" t="s">
        <v>28</v>
      </c>
      <c r="C45" s="11">
        <f>4315.89+725.07</f>
        <v>5040.96</v>
      </c>
      <c r="D45" s="24">
        <v>863.18</v>
      </c>
      <c r="E45" s="27"/>
      <c r="F45" s="27">
        <f>169.25+846.25+142.17+385.89+30.87</f>
        <v>1574.4299999999998</v>
      </c>
      <c r="G45" s="27"/>
      <c r="H45" s="27"/>
      <c r="I45" s="29"/>
      <c r="J45" s="29"/>
      <c r="K45" s="9">
        <f t="shared" si="19"/>
        <v>7478.57</v>
      </c>
      <c r="L45" s="3">
        <v>485.37</v>
      </c>
      <c r="M45" s="3">
        <f>629.55+122.42</f>
        <v>751.96999999999991</v>
      </c>
      <c r="N45" s="2">
        <f t="shared" si="20"/>
        <v>1857.37</v>
      </c>
      <c r="O45" s="2">
        <f t="shared" si="2"/>
        <v>3094.71</v>
      </c>
      <c r="P45" s="15">
        <f t="shared" si="3"/>
        <v>4383.8599999999997</v>
      </c>
      <c r="Q45" s="21"/>
      <c r="R45" s="22">
        <v>4383.8599999999997</v>
      </c>
    </row>
    <row r="46" spans="1:18" x14ac:dyDescent="0.25">
      <c r="A46">
        <v>40</v>
      </c>
      <c r="B46" s="13" t="s">
        <v>29</v>
      </c>
      <c r="C46" s="11">
        <f>2838.08+794.66</f>
        <v>3632.74</v>
      </c>
      <c r="D46" s="24"/>
      <c r="E46" s="27"/>
      <c r="F46" s="24">
        <f>2782.43+779.08+1187.17+94.97</f>
        <v>4843.6500000000005</v>
      </c>
      <c r="G46" s="27"/>
      <c r="H46" s="27"/>
      <c r="I46" s="29"/>
      <c r="J46" s="29"/>
      <c r="K46" s="9">
        <f t="shared" si="19"/>
        <v>8476.39</v>
      </c>
      <c r="L46" s="3">
        <f>140.54+273.55</f>
        <v>414.09000000000003</v>
      </c>
      <c r="M46" s="3">
        <f>235.88+516.09</f>
        <v>751.97</v>
      </c>
      <c r="N46" s="2">
        <f t="shared" si="20"/>
        <v>4854.4599999999991</v>
      </c>
      <c r="O46" s="2">
        <f t="shared" si="2"/>
        <v>6020.5199999999986</v>
      </c>
      <c r="P46" s="15">
        <f>SUM(K46-O46)+H46</f>
        <v>2455.8700000000008</v>
      </c>
      <c r="Q46" s="21"/>
      <c r="R46" s="22">
        <v>2455.87</v>
      </c>
    </row>
    <row r="47" spans="1:18" x14ac:dyDescent="0.25">
      <c r="A47">
        <v>41</v>
      </c>
      <c r="B47" s="13" t="s">
        <v>30</v>
      </c>
      <c r="C47" s="11">
        <f>5179.07+683.64</f>
        <v>5862.71</v>
      </c>
      <c r="D47" s="24">
        <v>1035.81</v>
      </c>
      <c r="E47" s="27"/>
      <c r="F47" s="27"/>
      <c r="G47" s="27"/>
      <c r="H47" s="27"/>
      <c r="I47" s="29"/>
      <c r="J47" s="29"/>
      <c r="K47" s="9">
        <f t="shared" si="19"/>
        <v>6898.52</v>
      </c>
      <c r="L47" s="3">
        <v>768.8</v>
      </c>
      <c r="M47" s="3">
        <v>751.97</v>
      </c>
      <c r="N47" s="2">
        <f t="shared" si="20"/>
        <v>1501.4899999999998</v>
      </c>
      <c r="O47" s="2">
        <f t="shared" si="2"/>
        <v>3022.2599999999998</v>
      </c>
      <c r="P47" s="15">
        <f>SUM(K47-O47)+H47</f>
        <v>3876.2600000000007</v>
      </c>
      <c r="Q47" s="21"/>
      <c r="R47" s="22">
        <v>3876.26</v>
      </c>
    </row>
    <row r="48" spans="1:18" x14ac:dyDescent="0.25">
      <c r="A48">
        <v>42</v>
      </c>
      <c r="B48" s="13" t="s">
        <v>31</v>
      </c>
      <c r="C48" s="11">
        <f>2398.33+287.8</f>
        <v>2686.13</v>
      </c>
      <c r="D48" s="24"/>
      <c r="E48" s="27"/>
      <c r="F48" s="27">
        <f>1567.54+188.1+585.22+46.81</f>
        <v>2387.6699999999996</v>
      </c>
      <c r="G48" s="27">
        <f>1306.28+156.75+487.68+39.01</f>
        <v>1989.72</v>
      </c>
      <c r="H48" s="27"/>
      <c r="I48" s="29"/>
      <c r="J48" s="29"/>
      <c r="K48" s="9">
        <f t="shared" si="19"/>
        <v>7063.5199999999995</v>
      </c>
      <c r="L48" s="3"/>
      <c r="M48" s="3">
        <f>346.79+214.82</f>
        <v>561.61</v>
      </c>
      <c r="N48" s="2">
        <f t="shared" si="20"/>
        <v>4747.08</v>
      </c>
      <c r="O48" s="2">
        <f t="shared" si="2"/>
        <v>5308.69</v>
      </c>
      <c r="P48" s="15">
        <f t="shared" si="3"/>
        <v>1754.83</v>
      </c>
      <c r="Q48" s="21"/>
      <c r="R48" s="22">
        <v>1754.83</v>
      </c>
    </row>
    <row r="49" spans="1:18" x14ac:dyDescent="0.25">
      <c r="A49">
        <v>43</v>
      </c>
      <c r="B49" s="13" t="s">
        <v>63</v>
      </c>
      <c r="C49" s="11">
        <v>2670.44</v>
      </c>
      <c r="D49" s="24"/>
      <c r="E49" s="27"/>
      <c r="F49" s="27"/>
      <c r="G49" s="27"/>
      <c r="H49" s="27"/>
      <c r="I49" s="29"/>
      <c r="J49" s="29"/>
      <c r="K49" s="9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5">
        <f t="shared" si="3"/>
        <v>2386.4899999999998</v>
      </c>
      <c r="Q49" s="21"/>
      <c r="R49" s="22">
        <v>2386.4899999999998</v>
      </c>
    </row>
    <row r="50" spans="1:18" x14ac:dyDescent="0.25">
      <c r="A50">
        <v>44</v>
      </c>
      <c r="B50" s="13" t="s">
        <v>32</v>
      </c>
      <c r="C50" s="11">
        <f>5179.07+745.79</f>
        <v>5924.86</v>
      </c>
      <c r="D50" s="24">
        <v>1035.81</v>
      </c>
      <c r="E50" s="27"/>
      <c r="F50" s="27"/>
      <c r="G50" s="27"/>
      <c r="H50" s="27"/>
      <c r="I50" s="29"/>
      <c r="J50" s="29"/>
      <c r="K50" s="9">
        <f t="shared" ref="K50:K57" si="21">SUM(C50:I50)</f>
        <v>6960.67</v>
      </c>
      <c r="L50" s="3">
        <v>785.9</v>
      </c>
      <c r="M50" s="3">
        <v>751.97</v>
      </c>
      <c r="N50" s="2">
        <f t="shared" si="20"/>
        <v>221.22000000000025</v>
      </c>
      <c r="O50" s="2">
        <f t="shared" si="2"/>
        <v>1759.0900000000001</v>
      </c>
      <c r="P50" s="15">
        <f t="shared" si="3"/>
        <v>5201.58</v>
      </c>
      <c r="Q50" s="21"/>
      <c r="R50" s="22">
        <v>5201.58</v>
      </c>
    </row>
    <row r="51" spans="1:18" x14ac:dyDescent="0.25">
      <c r="A51">
        <v>45</v>
      </c>
      <c r="B51" s="13" t="s">
        <v>33</v>
      </c>
      <c r="C51" s="11">
        <v>5791.28</v>
      </c>
      <c r="D51" s="24"/>
      <c r="E51" s="27"/>
      <c r="F51" s="27"/>
      <c r="G51" s="27"/>
      <c r="H51" s="27"/>
      <c r="I51" s="29"/>
      <c r="J51" s="29"/>
      <c r="K51" s="9">
        <f t="shared" si="21"/>
        <v>5791.28</v>
      </c>
      <c r="L51" s="3">
        <v>489.04</v>
      </c>
      <c r="M51" s="3">
        <v>662.05</v>
      </c>
      <c r="N51" s="2">
        <f t="shared" si="20"/>
        <v>775.6899999999996</v>
      </c>
      <c r="O51" s="2">
        <f t="shared" si="2"/>
        <v>1926.7799999999995</v>
      </c>
      <c r="P51" s="15">
        <f t="shared" si="3"/>
        <v>3864.5</v>
      </c>
      <c r="Q51" s="21"/>
      <c r="R51" s="22">
        <v>3864.5</v>
      </c>
    </row>
    <row r="52" spans="1:18" x14ac:dyDescent="0.25">
      <c r="A52">
        <v>46</v>
      </c>
      <c r="B52" s="13" t="s">
        <v>56</v>
      </c>
      <c r="C52" s="11">
        <f>1612.7+64.51</f>
        <v>1677.21</v>
      </c>
      <c r="D52" s="24"/>
      <c r="E52" s="27"/>
      <c r="F52" s="27">
        <f>395.27+15.81+137.03+27.41</f>
        <v>575.52</v>
      </c>
      <c r="G52" s="27"/>
      <c r="H52" s="27"/>
      <c r="I52" s="29"/>
      <c r="J52" s="29"/>
      <c r="K52" s="9">
        <f t="shared" si="21"/>
        <v>2252.73</v>
      </c>
      <c r="L52" s="3"/>
      <c r="M52" s="3">
        <f>144.99+42.73</f>
        <v>187.72</v>
      </c>
      <c r="N52" s="2">
        <f t="shared" ref="N52" si="22">K52-L52-M52-R52</f>
        <v>511.85000000000014</v>
      </c>
      <c r="O52" s="2">
        <f t="shared" ref="O52" si="23">SUM(L52:N52)</f>
        <v>699.57000000000016</v>
      </c>
      <c r="P52" s="15">
        <f t="shared" ref="P52" si="24">SUM(K52-O52)</f>
        <v>1553.1599999999999</v>
      </c>
      <c r="Q52" s="21"/>
      <c r="R52" s="22">
        <v>1553.16</v>
      </c>
    </row>
    <row r="53" spans="1:18" x14ac:dyDescent="0.25">
      <c r="A53">
        <v>47</v>
      </c>
      <c r="B53" s="13" t="s">
        <v>34</v>
      </c>
      <c r="C53" s="11">
        <f>12373.16+4305.86</f>
        <v>16679.02</v>
      </c>
      <c r="D53" s="24">
        <v>2474.63</v>
      </c>
      <c r="E53" s="27"/>
      <c r="F53" s="27"/>
      <c r="G53" s="27"/>
      <c r="H53" s="27"/>
      <c r="I53" s="29"/>
      <c r="J53" s="29"/>
      <c r="K53" s="9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5">
        <f>SUM(K53-O53)+H53</f>
        <v>14204.11</v>
      </c>
      <c r="Q53" s="21"/>
      <c r="R53" s="22">
        <v>14204.11</v>
      </c>
    </row>
    <row r="54" spans="1:18" x14ac:dyDescent="0.25">
      <c r="A54">
        <v>48</v>
      </c>
      <c r="B54" s="13" t="s">
        <v>35</v>
      </c>
      <c r="C54" s="11">
        <v>2377.6999999999998</v>
      </c>
      <c r="D54" s="24"/>
      <c r="E54" s="27"/>
      <c r="F54" s="27"/>
      <c r="G54" s="27"/>
      <c r="H54" s="27"/>
      <c r="I54" s="29"/>
      <c r="J54" s="29"/>
      <c r="K54" s="9">
        <f t="shared" si="21"/>
        <v>2377.6999999999998</v>
      </c>
      <c r="L54" s="3">
        <v>20.32</v>
      </c>
      <c r="M54" s="3">
        <v>202.71</v>
      </c>
      <c r="N54" s="2">
        <f t="shared" si="20"/>
        <v>41.649999999999636</v>
      </c>
      <c r="O54" s="2">
        <f t="shared" si="2"/>
        <v>264.67999999999961</v>
      </c>
      <c r="P54" s="15">
        <f t="shared" si="3"/>
        <v>2113.0200000000004</v>
      </c>
      <c r="Q54" s="21"/>
      <c r="R54" s="22">
        <v>2113.02</v>
      </c>
    </row>
    <row r="55" spans="1:18" x14ac:dyDescent="0.25">
      <c r="A55">
        <v>49</v>
      </c>
      <c r="B55" s="13" t="s">
        <v>78</v>
      </c>
      <c r="C55" s="11">
        <v>2819.57</v>
      </c>
      <c r="D55" s="24"/>
      <c r="E55" s="27"/>
      <c r="F55" s="27"/>
      <c r="G55" s="27"/>
      <c r="H55" s="27"/>
      <c r="I55" s="29"/>
      <c r="J55" s="29"/>
      <c r="K55" s="9">
        <f t="shared" si="21"/>
        <v>2819.57</v>
      </c>
      <c r="L55" s="3">
        <v>49.49</v>
      </c>
      <c r="M55" s="3">
        <v>255.74</v>
      </c>
      <c r="N55" s="2">
        <f t="shared" ref="N55" si="25">K55-L55-M55-R55</f>
        <v>521.42000000000007</v>
      </c>
      <c r="O55" s="2">
        <f t="shared" ref="O55" si="26">SUM(L55:N55)</f>
        <v>826.65000000000009</v>
      </c>
      <c r="P55" s="15">
        <f t="shared" ref="P55" si="27">SUM(K55-O55)</f>
        <v>1992.92</v>
      </c>
      <c r="Q55" s="21"/>
      <c r="R55" s="22">
        <v>1992.92</v>
      </c>
    </row>
    <row r="56" spans="1:18" x14ac:dyDescent="0.25">
      <c r="A56">
        <v>50</v>
      </c>
      <c r="B56" s="13" t="s">
        <v>36</v>
      </c>
      <c r="C56" s="11">
        <f>10737.77+4123.3</f>
        <v>14861.07</v>
      </c>
      <c r="D56" s="24">
        <v>2147.5500000000002</v>
      </c>
      <c r="E56" s="27"/>
      <c r="F56" s="27"/>
      <c r="G56" s="27"/>
      <c r="H56" s="27"/>
      <c r="I56" s="29"/>
      <c r="J56" s="29"/>
      <c r="K56" s="9">
        <f t="shared" si="21"/>
        <v>17008.62</v>
      </c>
      <c r="L56" s="3">
        <v>3549.08</v>
      </c>
      <c r="M56" s="3">
        <v>751.97</v>
      </c>
      <c r="N56" s="2">
        <f t="shared" si="20"/>
        <v>1443.1499999999996</v>
      </c>
      <c r="O56" s="2">
        <f t="shared" si="2"/>
        <v>5744.2</v>
      </c>
      <c r="P56" s="15">
        <f>SUM(K56-O56)+H56</f>
        <v>11264.419999999998</v>
      </c>
      <c r="Q56" s="21"/>
      <c r="R56" s="22">
        <v>11264.42</v>
      </c>
    </row>
    <row r="57" spans="1:18" x14ac:dyDescent="0.25">
      <c r="A57">
        <v>51</v>
      </c>
      <c r="B57" s="13" t="s">
        <v>37</v>
      </c>
      <c r="C57" s="11">
        <v>5330.42</v>
      </c>
      <c r="D57" s="24"/>
      <c r="E57" s="27"/>
      <c r="F57" s="27"/>
      <c r="G57" s="27"/>
      <c r="H57" s="27"/>
      <c r="I57" s="29"/>
      <c r="J57" s="29"/>
      <c r="K57" s="9">
        <f t="shared" si="21"/>
        <v>5330.42</v>
      </c>
      <c r="L57" s="3">
        <v>386.11</v>
      </c>
      <c r="M57" s="3">
        <v>597.53</v>
      </c>
      <c r="N57" s="2">
        <f t="shared" si="20"/>
        <v>1933.6200000000008</v>
      </c>
      <c r="O57" s="2">
        <f t="shared" si="2"/>
        <v>2917.2600000000007</v>
      </c>
      <c r="P57" s="15">
        <f t="shared" si="3"/>
        <v>2413.1599999999994</v>
      </c>
      <c r="Q57" s="21"/>
      <c r="R57" s="22">
        <v>2413.16</v>
      </c>
    </row>
    <row r="58" spans="1:18" x14ac:dyDescent="0.25">
      <c r="A58">
        <v>52</v>
      </c>
      <c r="B58" s="13" t="s">
        <v>64</v>
      </c>
      <c r="C58" s="11">
        <v>4310.79</v>
      </c>
      <c r="D58" s="24">
        <v>50</v>
      </c>
      <c r="E58" s="27"/>
      <c r="F58" s="27"/>
      <c r="G58" s="27"/>
      <c r="H58" s="27"/>
      <c r="I58" s="29"/>
      <c r="J58" s="29"/>
      <c r="K58" s="9">
        <f>SUM(C58:I58)</f>
        <v>4360.79</v>
      </c>
      <c r="L58" s="3">
        <v>241.15</v>
      </c>
      <c r="M58" s="3">
        <v>461.78</v>
      </c>
      <c r="N58" s="2">
        <f t="shared" ref="N58" si="28">K58-L58-M58-R58</f>
        <v>1057.9000000000005</v>
      </c>
      <c r="O58" s="2">
        <f t="shared" ref="O58" si="29">SUM(L58:N58)</f>
        <v>1760.8300000000004</v>
      </c>
      <c r="P58" s="15">
        <f t="shared" ref="P58" si="30">SUM(K58-O58)</f>
        <v>2599.9599999999996</v>
      </c>
      <c r="Q58" s="21"/>
      <c r="R58" s="22">
        <v>2599.96</v>
      </c>
    </row>
    <row r="59" spans="1:18" x14ac:dyDescent="0.25">
      <c r="A59">
        <v>53</v>
      </c>
      <c r="B59" s="13" t="s">
        <v>62</v>
      </c>
      <c r="C59" s="11">
        <v>1982.4</v>
      </c>
      <c r="D59" s="24"/>
      <c r="E59" s="27"/>
      <c r="F59" s="27"/>
      <c r="G59" s="27"/>
      <c r="H59" s="27"/>
      <c r="I59" s="29"/>
      <c r="J59" s="29"/>
      <c r="K59" s="9">
        <f>SUM(C59:I59)</f>
        <v>1982.4</v>
      </c>
      <c r="L59" s="3"/>
      <c r="M59" s="3">
        <v>149.68</v>
      </c>
      <c r="N59" s="2">
        <f t="shared" ref="N59" si="31">K59-L59-M59-R59</f>
        <v>276.70000000000005</v>
      </c>
      <c r="O59" s="2">
        <f t="shared" ref="O59" si="32">SUM(L59:N59)</f>
        <v>426.38000000000005</v>
      </c>
      <c r="P59" s="15">
        <f t="shared" ref="P59" si="33">SUM(K59-O59)</f>
        <v>1556.02</v>
      </c>
      <c r="Q59" s="21"/>
      <c r="R59" s="22">
        <v>1556.02</v>
      </c>
    </row>
    <row r="60" spans="1:18" ht="15.75" thickBot="1" x14ac:dyDescent="0.3">
      <c r="A60">
        <v>54</v>
      </c>
      <c r="B60" s="14" t="s">
        <v>38</v>
      </c>
      <c r="C60" s="12">
        <f>3331.61+479.75</f>
        <v>3811.36</v>
      </c>
      <c r="D60" s="26">
        <v>666.32</v>
      </c>
      <c r="E60" s="30"/>
      <c r="F60" s="30">
        <f>979.88+4899.43+705.52+2194.94+175.6</f>
        <v>8955.3700000000008</v>
      </c>
      <c r="G60" s="30"/>
      <c r="H60" s="30"/>
      <c r="I60" s="31">
        <v>6184.02</v>
      </c>
      <c r="J60" s="31"/>
      <c r="K60" s="10">
        <f>SUM(C60:J60)</f>
        <v>19617.07</v>
      </c>
      <c r="L60" s="7">
        <f>2058.76+1286.15</f>
        <v>3344.9100000000003</v>
      </c>
      <c r="M60" s="7">
        <v>751.97</v>
      </c>
      <c r="N60" s="8">
        <f t="shared" si="20"/>
        <v>6810.92</v>
      </c>
      <c r="O60" s="8">
        <f t="shared" si="2"/>
        <v>10907.8</v>
      </c>
      <c r="P60" s="16">
        <f t="shared" si="3"/>
        <v>8709.27</v>
      </c>
      <c r="Q60" s="21"/>
      <c r="R60" s="22">
        <v>8709.27</v>
      </c>
    </row>
    <row r="61" spans="1:18" ht="15.75" thickBot="1" x14ac:dyDescent="0.3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8" x14ac:dyDescent="0.25">
      <c r="B62" s="45" t="s">
        <v>80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</row>
    <row r="63" spans="1:18" x14ac:dyDescent="0.25">
      <c r="B63" s="49" t="s">
        <v>81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1"/>
    </row>
    <row r="64" spans="1:18" ht="5.25" customHeight="1" x14ac:dyDescent="0.25"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7"/>
    </row>
    <row r="65" spans="2:16" x14ac:dyDescent="0.25">
      <c r="B65" s="68" t="s">
        <v>73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70"/>
    </row>
    <row r="66" spans="2:16" x14ac:dyDescent="0.25">
      <c r="B66" s="71" t="s">
        <v>70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3"/>
    </row>
    <row r="67" spans="2:16" x14ac:dyDescent="0.25">
      <c r="B67" s="71" t="s">
        <v>71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71" t="s">
        <v>72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ht="15.75" thickBot="1" x14ac:dyDescent="0.3">
      <c r="B69" s="62" t="s">
        <v>82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4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9:P69"/>
    <mergeCell ref="B64:P64"/>
    <mergeCell ref="B65:P65"/>
    <mergeCell ref="B66:P66"/>
    <mergeCell ref="B68:P68"/>
    <mergeCell ref="B67:P67"/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2022-01-27T12:48:23Z</cp:lastPrinted>
  <dcterms:created xsi:type="dcterms:W3CDTF">2016-04-28T12:49:34Z</dcterms:created>
  <dcterms:modified xsi:type="dcterms:W3CDTF">2022-01-27T12:50:18Z</dcterms:modified>
</cp:coreProperties>
</file>