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6-JUNHO\"/>
    </mc:Choice>
  </mc:AlternateContent>
  <xr:revisionPtr revIDLastSave="0" documentId="13_ncr:1_{C9DDDE1B-1CB3-4605-8293-8935EACAC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6" l="1"/>
  <c r="C64" i="6"/>
  <c r="C63" i="6"/>
  <c r="K63" i="6" s="1"/>
  <c r="N63" i="6" s="1"/>
  <c r="O63" i="6" s="1"/>
  <c r="P63" i="6" s="1"/>
  <c r="H62" i="6"/>
  <c r="C62" i="6"/>
  <c r="C61" i="6"/>
  <c r="C60" i="6"/>
  <c r="C59" i="6"/>
  <c r="C58" i="6"/>
  <c r="M57" i="6"/>
  <c r="F57" i="6"/>
  <c r="H57" i="6"/>
  <c r="C57" i="6"/>
  <c r="C56" i="6"/>
  <c r="H55" i="6"/>
  <c r="C55" i="6"/>
  <c r="H54" i="6"/>
  <c r="C54" i="6"/>
  <c r="H53" i="6"/>
  <c r="C53" i="6"/>
  <c r="H52" i="6"/>
  <c r="C52" i="6"/>
  <c r="C51" i="6"/>
  <c r="H50" i="6"/>
  <c r="C50" i="6"/>
  <c r="C49" i="6"/>
  <c r="K49" i="6" s="1"/>
  <c r="N49" i="6" s="1"/>
  <c r="O49" i="6" s="1"/>
  <c r="P49" i="6" s="1"/>
  <c r="H48" i="6"/>
  <c r="C48" i="6"/>
  <c r="M47" i="6"/>
  <c r="L47" i="6"/>
  <c r="H47" i="6"/>
  <c r="F47" i="6"/>
  <c r="C47" i="6"/>
  <c r="M46" i="6"/>
  <c r="L46" i="6"/>
  <c r="F46" i="6"/>
  <c r="H46" i="6"/>
  <c r="C46" i="6"/>
  <c r="H45" i="6"/>
  <c r="C45" i="6"/>
  <c r="C44" i="6"/>
  <c r="C43" i="6"/>
  <c r="H43" i="6"/>
  <c r="H42" i="6"/>
  <c r="C42" i="6"/>
  <c r="H41" i="6"/>
  <c r="C41" i="6"/>
  <c r="H40" i="6"/>
  <c r="C40" i="6"/>
  <c r="C39" i="6"/>
  <c r="C38" i="6"/>
  <c r="H37" i="6"/>
  <c r="C37" i="6"/>
  <c r="C36" i="6"/>
  <c r="M35" i="6"/>
  <c r="L35" i="6"/>
  <c r="G35" i="6"/>
  <c r="F35" i="6"/>
  <c r="C35" i="6"/>
  <c r="C34" i="6"/>
  <c r="H33" i="6"/>
  <c r="C33" i="6"/>
  <c r="H32" i="6"/>
  <c r="C32" i="6"/>
  <c r="K31" i="6"/>
  <c r="N31" i="6" s="1"/>
  <c r="O31" i="6" s="1"/>
  <c r="P31" i="6" s="1"/>
  <c r="C30" i="6"/>
  <c r="F29" i="6"/>
  <c r="H29" i="6"/>
  <c r="C29" i="6"/>
  <c r="C28" i="6"/>
  <c r="H27" i="6"/>
  <c r="C27" i="6"/>
  <c r="C26" i="6"/>
  <c r="C25" i="6"/>
  <c r="C24" i="6"/>
  <c r="C23" i="6"/>
  <c r="K23" i="6" s="1"/>
  <c r="H22" i="6"/>
  <c r="C22" i="6"/>
  <c r="C21" i="6"/>
  <c r="H20" i="6"/>
  <c r="C20" i="6"/>
  <c r="H19" i="6"/>
  <c r="C19" i="6"/>
  <c r="G17" i="6"/>
  <c r="C17" i="6"/>
  <c r="M16" i="6"/>
  <c r="L16" i="6"/>
  <c r="G16" i="6"/>
  <c r="F16" i="6"/>
  <c r="H16" i="6"/>
  <c r="C16" i="6"/>
  <c r="D15" i="6"/>
  <c r="H15" i="6"/>
  <c r="C15" i="6"/>
  <c r="H14" i="6"/>
  <c r="C14" i="6"/>
  <c r="H13" i="6"/>
  <c r="C13" i="6"/>
  <c r="M12" i="6"/>
  <c r="G12" i="6"/>
  <c r="F12" i="6"/>
  <c r="H12" i="6"/>
  <c r="C12" i="6"/>
  <c r="C11" i="6"/>
  <c r="K11" i="6" s="1"/>
  <c r="C10" i="6"/>
  <c r="H9" i="6"/>
  <c r="C9" i="6"/>
  <c r="C8" i="6"/>
  <c r="H7" i="6"/>
  <c r="C7" i="6"/>
  <c r="K21" i="6"/>
  <c r="N21" i="6"/>
  <c r="K59" i="6"/>
  <c r="N59" i="6" s="1"/>
  <c r="O59" i="6" s="1"/>
  <c r="K44" i="6"/>
  <c r="N44" i="6" s="1"/>
  <c r="O44" i="6" s="1"/>
  <c r="P44" i="6" s="1"/>
  <c r="K37" i="6" l="1"/>
  <c r="N37" i="6" s="1"/>
  <c r="O37" i="6" s="1"/>
  <c r="P37" i="6" s="1"/>
  <c r="O21" i="6"/>
  <c r="P21" i="6" s="1"/>
  <c r="P59" i="6"/>
  <c r="N23" i="6"/>
  <c r="O23" i="6" s="1"/>
  <c r="P23" i="6" s="1"/>
  <c r="N11" i="6"/>
  <c r="O11" i="6" s="1"/>
  <c r="P11" i="6" s="1"/>
  <c r="K58" i="6"/>
  <c r="K64" i="6" l="1"/>
  <c r="K46" i="6"/>
  <c r="N58" i="6"/>
  <c r="O58" i="6" s="1"/>
  <c r="P58" i="6" s="1"/>
  <c r="K14" i="6"/>
  <c r="K10" i="6"/>
  <c r="N10" i="6" s="1"/>
  <c r="O10" i="6" s="1"/>
  <c r="P10" i="6" s="1"/>
  <c r="N14" i="6" l="1"/>
  <c r="O14" i="6" s="1"/>
  <c r="P14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2" i="6"/>
  <c r="K33" i="6"/>
  <c r="K34" i="6"/>
  <c r="K35" i="6"/>
  <c r="K38" i="6"/>
  <c r="K39" i="6"/>
  <c r="K40" i="6"/>
  <c r="K41" i="6"/>
  <c r="K8" i="6"/>
  <c r="K9" i="6"/>
  <c r="K12" i="6"/>
  <c r="K13" i="6"/>
  <c r="K16" i="6"/>
  <c r="K17" i="6"/>
  <c r="K18" i="6"/>
  <c r="K19" i="6"/>
  <c r="K20" i="6"/>
  <c r="K22" i="6"/>
  <c r="K24" i="6"/>
  <c r="K25" i="6"/>
  <c r="K26" i="6"/>
  <c r="K27" i="6"/>
  <c r="K28" i="6"/>
  <c r="K29" i="6"/>
  <c r="K30" i="6"/>
  <c r="K7" i="6"/>
  <c r="K51" i="6" l="1"/>
  <c r="K15" i="6"/>
  <c r="N62" i="6" l="1"/>
  <c r="O62" i="6" s="1"/>
  <c r="P62" i="6" s="1"/>
  <c r="N19" i="6" l="1"/>
  <c r="O19" i="6" s="1"/>
  <c r="P19" i="6" s="1"/>
  <c r="N33" i="6" l="1"/>
  <c r="O33" i="6" s="1"/>
  <c r="P33" i="6" s="1"/>
  <c r="N9" i="6" l="1"/>
  <c r="O9" i="6" s="1"/>
  <c r="P9" i="6" s="1"/>
  <c r="N40" i="6" l="1"/>
  <c r="O40" i="6" s="1"/>
  <c r="P40" i="6" s="1"/>
  <c r="N55" i="6" l="1"/>
  <c r="O55" i="6" s="1"/>
  <c r="P55" i="6" s="1"/>
  <c r="N16" i="6" l="1"/>
  <c r="O16" i="6" s="1"/>
  <c r="P16" i="6" s="1"/>
  <c r="N13" i="6" l="1"/>
  <c r="O13" i="6" s="1"/>
  <c r="P13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32" i="6"/>
  <c r="O32" i="6" s="1"/>
  <c r="P32" i="6" s="1"/>
  <c r="N30" i="6"/>
  <c r="O30" i="6" s="1"/>
  <c r="P30" i="6" s="1"/>
  <c r="N29" i="6"/>
  <c r="O29" i="6" s="1"/>
  <c r="P29" i="6" s="1"/>
  <c r="N27" i="6"/>
  <c r="O27" i="6" s="1"/>
  <c r="P27" i="6" s="1"/>
  <c r="N26" i="6"/>
  <c r="O26" i="6" s="1"/>
  <c r="P26" i="6" s="1"/>
  <c r="N25" i="6"/>
  <c r="O25" i="6" s="1"/>
  <c r="P25" i="6" s="1"/>
  <c r="N24" i="6"/>
  <c r="O24" i="6" s="1"/>
  <c r="P24" i="6" s="1"/>
  <c r="N20" i="6"/>
  <c r="O20" i="6" s="1"/>
  <c r="P20" i="6" s="1"/>
  <c r="N7" i="6"/>
  <c r="O7" i="6" s="1"/>
  <c r="P7" i="6" s="1"/>
  <c r="N45" i="6" l="1"/>
  <c r="O45" i="6" s="1"/>
  <c r="P45" i="6" s="1"/>
  <c r="N8" i="6"/>
  <c r="N61" i="6"/>
  <c r="O61" i="6" s="1"/>
  <c r="P61" i="6" s="1"/>
  <c r="N17" i="6"/>
  <c r="O17" i="6" s="1"/>
  <c r="P17" i="6" s="1"/>
  <c r="N56" i="6"/>
  <c r="O56" i="6" s="1"/>
  <c r="P56" i="6" s="1"/>
  <c r="N50" i="6"/>
  <c r="N51" i="6"/>
  <c r="O51" i="6" s="1"/>
  <c r="P51" i="6" s="1"/>
  <c r="N60" i="6"/>
  <c r="O60" i="6" s="1"/>
  <c r="P60" i="6" s="1"/>
  <c r="N12" i="6"/>
  <c r="O12" i="6" s="1"/>
  <c r="P12" i="6" s="1"/>
  <c r="N34" i="6"/>
  <c r="O34" i="6" s="1"/>
  <c r="P34" i="6" s="1"/>
  <c r="N28" i="6"/>
  <c r="O28" i="6" s="1"/>
  <c r="P28" i="6" s="1"/>
  <c r="N39" i="6"/>
  <c r="O39" i="6" s="1"/>
  <c r="P39" i="6" s="1"/>
  <c r="N43" i="6"/>
  <c r="O43" i="6" s="1"/>
  <c r="P43" i="6" s="1"/>
  <c r="N22" i="6"/>
  <c r="O22" i="6" s="1"/>
  <c r="P22" i="6" s="1"/>
  <c r="N18" i="6"/>
  <c r="O18" i="6" s="1"/>
  <c r="P18" i="6" s="1"/>
  <c r="N15" i="6"/>
  <c r="O15" i="6" s="1"/>
  <c r="P15" i="6" s="1"/>
  <c r="P48" i="6"/>
  <c r="P47" i="6"/>
  <c r="P52" i="6"/>
  <c r="N41" i="6"/>
  <c r="O41" i="6" s="1"/>
  <c r="P41" i="6" s="1"/>
  <c r="P57" i="6"/>
  <c r="O50" i="6" l="1"/>
  <c r="O8" i="6"/>
  <c r="P50" i="6" l="1"/>
  <c r="P8" i="6"/>
</calcChain>
</file>

<file path=xl/sharedStrings.xml><?xml version="1.0" encoding="utf-8"?>
<sst xmlns="http://schemas.openxmlformats.org/spreadsheetml/2006/main" count="90" uniqueCount="88">
  <si>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</si>
  <si>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</si>
  <si>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</si>
  <si>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</si>
  <si>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</si>
  <si>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</si>
  <si>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</si>
  <si>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</si>
  <si>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</si>
  <si>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</si>
  <si>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</si>
  <si>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</si>
  <si>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</si>
  <si>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</si>
  <si>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</si>
  <si>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</si>
  <si>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</si>
  <si>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</si>
  <si>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</si>
  <si>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</si>
  <si>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</si>
  <si>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</si>
  <si>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</si>
  <si>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</si>
  <si>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</si>
  <si>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</si>
  <si>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</si>
  <si>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</si>
  <si>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</si>
  <si>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</si>
  <si>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</si>
  <si>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</si>
  <si>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</si>
  <si>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</si>
  <si>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</si>
  <si>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</si>
  <si>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</si>
  <si>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</si>
  <si>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</si>
  <si>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</si>
  <si>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</si>
  <si>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</si>
  <si>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</si>
  <si>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</si>
  <si>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</si>
  <si>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</si>
  <si>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</si>
  <si>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</si>
  <si>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</si>
  <si>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</si>
  <si>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</si>
  <si>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</si>
  <si>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</si>
  <si>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</si>
  <si>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</si>
  <si>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</si>
  <si>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</si>
  <si>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</si>
  <si>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</si>
  <si>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</si>
  <si>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</si>
  <si>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</si>
  <si>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</si>
  <si>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</si>
  <si>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</si>
  <si>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</si>
  <si>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</si>
  <si>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</si>
  <si>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</si>
  <si>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</si>
  <si>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</si>
  <si>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</si>
  <si>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</si>
  <si>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</si>
  <si>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</si>
  <si>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</si>
  <si>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</si>
  <si>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GABRIEL ALVES FONSECA</t>
  </si>
  <si>
    <t>MAICON ALLAN MARTINS GADIOLI</t>
  </si>
  <si>
    <t>MARILIZA MIOTTO</t>
  </si>
  <si>
    <t>MURILO GRAZIANI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</si>
  <si>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</si>
  <si>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</si>
  <si>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</si>
  <si>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</si>
  <si>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JUNHO/2023</t>
  </si>
  <si>
    <t>JESSICA ROMANI</t>
  </si>
  <si>
    <t>É concedido a todos os funcionários o Auxílio alimentação, subdividido em duas modalidades: Cesta básica no valor de R$ 638,00 por mês e o Vale refeição no valor diário de R$ 29,00, num  total de 22 vales por mês.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</si>
</sst>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0" fillId="0" borderId="30" xfId="0" applyNumberFormat="1" applyBorder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48" activePane="bottomRight" state="frozen"/>
      <selection pane="topRight" activeCell="B1" sqref="B1"/>
      <selection pane="bottomLeft" activeCell="A7" sqref="A7"/>
      <selection pane="bottomRight" activeCell="S72" sqref="S72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8" t="s">
        <v>49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9" ht="16.5" x14ac:dyDescent="0.25">
      <c r="B2" s="68" t="s">
        <v>50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9" ht="4.5" customHeight="1" thickBot="1" x14ac:dyDescent="0.3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9" ht="19.5" thickBot="1" x14ac:dyDescent="0.35">
      <c r="B4" s="47" t="s">
        <v>85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70" t="s">
        <v>48</v>
      </c>
      <c r="C5" s="72" t="s">
        <v>38</v>
      </c>
      <c r="D5" s="76" t="s">
        <v>61</v>
      </c>
      <c r="E5" s="72" t="s">
        <v>39</v>
      </c>
      <c r="F5" s="72" t="s">
        <v>62</v>
      </c>
      <c r="G5" s="40" t="s">
        <v>63</v>
      </c>
      <c r="H5" s="41" t="s">
        <v>65</v>
      </c>
      <c r="I5" s="20" t="s">
        <v>51</v>
      </c>
      <c r="J5" s="8" t="s">
        <v>70</v>
      </c>
      <c r="K5" s="20" t="s">
        <v>40</v>
      </c>
      <c r="L5" s="74" t="s">
        <v>42</v>
      </c>
      <c r="M5" s="72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71"/>
      <c r="C6" s="73"/>
      <c r="D6" s="77"/>
      <c r="E6" s="73"/>
      <c r="F6" s="73"/>
      <c r="G6" s="42" t="s">
        <v>64</v>
      </c>
      <c r="H6" s="43" t="s">
        <v>53</v>
      </c>
      <c r="I6" s="21" t="s">
        <v>52</v>
      </c>
      <c r="J6" s="9" t="s">
        <v>71</v>
      </c>
      <c r="K6" s="21" t="s">
        <v>41</v>
      </c>
      <c r="L6" s="75"/>
      <c r="M6" s="73"/>
      <c r="N6" s="21" t="s">
        <v>45</v>
      </c>
      <c r="O6" s="9" t="s">
        <v>45</v>
      </c>
      <c r="P6" s="23" t="s">
        <v>47</v>
      </c>
    </row>
    <row r="7" spans="1:19" x14ac:dyDescent="0.25">
      <c r="A7" s="45">
        <v>1</v>
      </c>
      <c r="B7" s="16" t="s">
        <v>0</v>
      </c>
      <c r="C7" s="14">
        <f>6618.79+1727.16+774.7</f>
        <v>9120.6500000000015</v>
      </c>
      <c r="D7" s="27">
        <v>3064.97</v>
      </c>
      <c r="E7" s="27"/>
      <c r="F7" s="27"/>
      <c r="G7" s="27"/>
      <c r="H7" s="27">
        <f>3309.4+387.35+1532.48</f>
        <v>5229.2299999999996</v>
      </c>
      <c r="I7" s="30"/>
      <c r="J7" s="30"/>
      <c r="K7" s="12">
        <f t="shared" ref="K7:K15" si="0">SUM(C7:I7)</f>
        <v>17414.849999999999</v>
      </c>
      <c r="L7" s="3">
        <v>2224.92</v>
      </c>
      <c r="M7" s="3">
        <v>876.95</v>
      </c>
      <c r="N7" s="2">
        <f>K7-L7-M7-R7</f>
        <v>41.769999999998618</v>
      </c>
      <c r="O7" s="2">
        <f t="shared" ref="O7:O64" si="1">SUM(L7:N7)</f>
        <v>3143.6399999999985</v>
      </c>
      <c r="P7" s="18">
        <f t="shared" ref="P7:P64" si="2">SUM(K7-O7)</f>
        <v>14271.21</v>
      </c>
      <c r="Q7" s="24"/>
      <c r="R7" s="25">
        <v>14271.21</v>
      </c>
    </row>
    <row r="8" spans="1:19" x14ac:dyDescent="0.25">
      <c r="A8" s="45">
        <v>2</v>
      </c>
      <c r="B8" s="16" t="s">
        <v>1</v>
      </c>
      <c r="C8" s="14">
        <f>3376.53+1197.82+303.89</f>
        <v>4878.2400000000007</v>
      </c>
      <c r="D8" s="27"/>
      <c r="E8" s="27"/>
      <c r="F8" s="27"/>
      <c r="G8" s="27"/>
      <c r="H8" s="27"/>
      <c r="I8" s="30"/>
      <c r="J8" s="30"/>
      <c r="K8" s="12">
        <f t="shared" si="0"/>
        <v>4878.2400000000007</v>
      </c>
      <c r="L8" s="3">
        <v>288.72000000000003</v>
      </c>
      <c r="M8" s="3">
        <v>508.86</v>
      </c>
      <c r="N8" s="2">
        <f t="shared" ref="N8:N14" si="3">K8-L8-M8-R8</f>
        <v>1791.1900000000005</v>
      </c>
      <c r="O8" s="2">
        <f t="shared" si="1"/>
        <v>2588.7700000000004</v>
      </c>
      <c r="P8" s="18">
        <f t="shared" si="2"/>
        <v>2289.4700000000003</v>
      </c>
      <c r="Q8" s="24"/>
      <c r="R8" s="25">
        <v>2289.4699999999998</v>
      </c>
    </row>
    <row r="9" spans="1:19" x14ac:dyDescent="0.25">
      <c r="A9" s="45">
        <v>3</v>
      </c>
      <c r="B9" s="16" t="s">
        <v>56</v>
      </c>
      <c r="C9" s="14">
        <f>2794.89+1234.09+216.37</f>
        <v>4245.3499999999995</v>
      </c>
      <c r="D9" s="27">
        <v>1532.5</v>
      </c>
      <c r="E9" s="27">
        <v>308.42</v>
      </c>
      <c r="F9" s="27"/>
      <c r="G9" s="27"/>
      <c r="H9" s="27">
        <f>1397.45+108.18+766.25</f>
        <v>2271.88</v>
      </c>
      <c r="I9" s="30"/>
      <c r="J9" s="30"/>
      <c r="K9" s="12">
        <f t="shared" si="0"/>
        <v>8358.15</v>
      </c>
      <c r="L9" s="3">
        <v>602.32000000000005</v>
      </c>
      <c r="M9" s="3">
        <v>677.98</v>
      </c>
      <c r="N9" s="2">
        <f t="shared" si="3"/>
        <v>117.60000000000036</v>
      </c>
      <c r="O9" s="2">
        <f t="shared" si="1"/>
        <v>1397.9000000000005</v>
      </c>
      <c r="P9" s="18">
        <f t="shared" si="2"/>
        <v>6960.2499999999991</v>
      </c>
      <c r="Q9" s="24"/>
      <c r="R9" s="25">
        <v>6960.25</v>
      </c>
    </row>
    <row r="10" spans="1:19" x14ac:dyDescent="0.25">
      <c r="A10" s="45">
        <v>4</v>
      </c>
      <c r="B10" s="16" t="s">
        <v>74</v>
      </c>
      <c r="C10" s="14">
        <f>5262.28+1469.25+126.29</f>
        <v>6857.82</v>
      </c>
      <c r="D10" s="27">
        <v>1052.46</v>
      </c>
      <c r="E10" s="27"/>
      <c r="F10" s="27">
        <v>164.05</v>
      </c>
      <c r="G10" s="27">
        <v>328.11</v>
      </c>
      <c r="H10" s="27"/>
      <c r="I10" s="30"/>
      <c r="J10" s="30"/>
      <c r="K10" s="12">
        <f t="shared" ref="K10:K11" si="4">SUM(C10:I10)</f>
        <v>8402.44</v>
      </c>
      <c r="L10" s="3">
        <v>1094.32</v>
      </c>
      <c r="M10" s="3">
        <v>876.95</v>
      </c>
      <c r="N10" s="2">
        <f t="shared" ref="N10:N11" si="5">K10-L10-M10-R10</f>
        <v>41.770000000001346</v>
      </c>
      <c r="O10" s="2">
        <f t="shared" ref="O10:O11" si="6">SUM(L10:N10)</f>
        <v>2013.0400000000013</v>
      </c>
      <c r="P10" s="18">
        <f t="shared" ref="P10:P11" si="7">SUM(K10-O10)</f>
        <v>6389.4</v>
      </c>
      <c r="Q10" s="24"/>
      <c r="R10" s="25">
        <v>6389.4</v>
      </c>
    </row>
    <row r="11" spans="1:19" x14ac:dyDescent="0.25">
      <c r="A11" s="45">
        <v>5</v>
      </c>
      <c r="B11" s="16" t="s">
        <v>76</v>
      </c>
      <c r="C11" s="14">
        <f>3705.64+1076.21</f>
        <v>4781.8500000000004</v>
      </c>
      <c r="D11" s="27"/>
      <c r="E11" s="27"/>
      <c r="F11" s="27"/>
      <c r="G11" s="27"/>
      <c r="H11" s="27">
        <v>1698.42</v>
      </c>
      <c r="I11" s="30"/>
      <c r="J11" s="30"/>
      <c r="K11" s="12">
        <f t="shared" si="4"/>
        <v>6480.27</v>
      </c>
      <c r="L11" s="3">
        <v>305.39</v>
      </c>
      <c r="M11" s="3">
        <v>495.36</v>
      </c>
      <c r="N11" s="2">
        <f t="shared" si="5"/>
        <v>6.8300000000008367</v>
      </c>
      <c r="O11" s="2">
        <f t="shared" si="6"/>
        <v>807.58000000000084</v>
      </c>
      <c r="P11" s="18">
        <f t="shared" si="7"/>
        <v>5672.69</v>
      </c>
      <c r="Q11" s="24"/>
      <c r="R11" s="25">
        <v>5672.69</v>
      </c>
    </row>
    <row r="12" spans="1:19" x14ac:dyDescent="0.25">
      <c r="A12" s="45">
        <v>6</v>
      </c>
      <c r="B12" s="16" t="s">
        <v>2</v>
      </c>
      <c r="C12" s="14">
        <f>1266.15+1246.04+177.26</f>
        <v>2689.45</v>
      </c>
      <c r="D12" s="27"/>
      <c r="E12" s="27"/>
      <c r="F12" s="27">
        <f>1850.89+1.39+259.32+703.86+537.76</f>
        <v>3353.2200000000003</v>
      </c>
      <c r="G12" s="27">
        <f>974.15+0.73+136.48+370.45+268.88</f>
        <v>1750.69</v>
      </c>
      <c r="H12" s="27">
        <f>1726.57+241.72</f>
        <v>1968.29</v>
      </c>
      <c r="I12" s="30"/>
      <c r="J12" s="30"/>
      <c r="K12" s="12">
        <f t="shared" si="0"/>
        <v>9761.6500000000015</v>
      </c>
      <c r="L12" s="3">
        <v>44.04</v>
      </c>
      <c r="M12" s="3">
        <f>426.12+245.76</f>
        <v>671.88</v>
      </c>
      <c r="N12" s="2">
        <f t="shared" si="3"/>
        <v>5970.7700000000013</v>
      </c>
      <c r="O12" s="2">
        <f t="shared" si="1"/>
        <v>6686.6900000000014</v>
      </c>
      <c r="P12" s="18">
        <f>SUM(K12-O12)+H12</f>
        <v>5043.25</v>
      </c>
      <c r="Q12" s="24"/>
      <c r="R12" s="25">
        <v>3074.96</v>
      </c>
      <c r="S12" s="1"/>
    </row>
    <row r="13" spans="1:19" x14ac:dyDescent="0.25">
      <c r="A13" s="45">
        <v>7</v>
      </c>
      <c r="B13" s="16" t="s">
        <v>3</v>
      </c>
      <c r="C13" s="14">
        <f>4048.47+1369.17+1052.6</f>
        <v>6470.24</v>
      </c>
      <c r="D13" s="27"/>
      <c r="E13" s="27"/>
      <c r="F13" s="27"/>
      <c r="G13" s="27"/>
      <c r="H13" s="27">
        <f>2024.24+526.3</f>
        <v>2550.54</v>
      </c>
      <c r="I13" s="30"/>
      <c r="J13" s="30"/>
      <c r="K13" s="12">
        <f t="shared" si="0"/>
        <v>9020.7799999999988</v>
      </c>
      <c r="L13" s="3">
        <v>693.13</v>
      </c>
      <c r="M13" s="3">
        <v>731.74</v>
      </c>
      <c r="N13" s="2">
        <f t="shared" si="3"/>
        <v>979.77999999999975</v>
      </c>
      <c r="O13" s="2">
        <f t="shared" si="1"/>
        <v>2404.6499999999996</v>
      </c>
      <c r="P13" s="18">
        <f t="shared" si="2"/>
        <v>6616.1299999999992</v>
      </c>
      <c r="Q13" s="24"/>
      <c r="R13" s="25">
        <v>6616.13</v>
      </c>
    </row>
    <row r="14" spans="1:19" x14ac:dyDescent="0.25">
      <c r="A14" s="45">
        <v>8</v>
      </c>
      <c r="B14" s="16" t="s">
        <v>72</v>
      </c>
      <c r="C14" s="14">
        <f>5262.28+1476.48+126.29</f>
        <v>6865.05</v>
      </c>
      <c r="D14" s="27">
        <v>1052.46</v>
      </c>
      <c r="E14" s="27"/>
      <c r="F14" s="27"/>
      <c r="G14" s="27"/>
      <c r="H14" s="27">
        <f>2631.14+63.15+526.23</f>
        <v>3220.52</v>
      </c>
      <c r="I14" s="30"/>
      <c r="J14" s="30"/>
      <c r="K14" s="12">
        <f t="shared" si="0"/>
        <v>11138.03</v>
      </c>
      <c r="L14" s="3">
        <v>1051.19</v>
      </c>
      <c r="M14" s="3">
        <v>876.95</v>
      </c>
      <c r="N14" s="2">
        <f t="shared" si="3"/>
        <v>6.8299999999999272</v>
      </c>
      <c r="O14" s="2">
        <f t="shared" si="1"/>
        <v>1934.97</v>
      </c>
      <c r="P14" s="18">
        <f t="shared" si="2"/>
        <v>9203.0600000000013</v>
      </c>
      <c r="Q14" s="24"/>
      <c r="R14" s="25">
        <v>9203.06</v>
      </c>
    </row>
    <row r="15" spans="1:19" x14ac:dyDescent="0.25">
      <c r="A15" s="45">
        <v>9</v>
      </c>
      <c r="B15" s="16" t="s">
        <v>4</v>
      </c>
      <c r="C15" s="14">
        <f>15041.94+4373.55+7897.02</f>
        <v>27312.510000000002</v>
      </c>
      <c r="D15" s="27">
        <f>1504.19+6016.78+308.42</f>
        <v>7829.3899999999994</v>
      </c>
      <c r="E15" s="27"/>
      <c r="F15" s="27"/>
      <c r="G15" s="27"/>
      <c r="H15" s="27">
        <f>7520.97+3948.51+3008.39+752.1</f>
        <v>15229.97</v>
      </c>
      <c r="I15" s="30"/>
      <c r="J15" s="30"/>
      <c r="K15" s="12">
        <f t="shared" si="0"/>
        <v>50371.87</v>
      </c>
      <c r="L15" s="3">
        <v>8537.9</v>
      </c>
      <c r="M15" s="3">
        <v>876.95</v>
      </c>
      <c r="N15" s="2">
        <f>K15-L15-M15-R15</f>
        <v>343.20000000000437</v>
      </c>
      <c r="O15" s="2">
        <f t="shared" si="1"/>
        <v>9758.0500000000047</v>
      </c>
      <c r="P15" s="18">
        <f t="shared" si="2"/>
        <v>40613.82</v>
      </c>
      <c r="Q15" s="24"/>
      <c r="R15" s="25">
        <v>40613.82</v>
      </c>
    </row>
    <row r="16" spans="1:19" x14ac:dyDescent="0.25">
      <c r="A16" s="45">
        <v>10</v>
      </c>
      <c r="B16" s="16" t="s">
        <v>5</v>
      </c>
      <c r="C16" s="14">
        <f>12534.95+3749.38+4211.74</f>
        <v>20496.07</v>
      </c>
      <c r="D16" s="27">
        <v>5013.9799999999996</v>
      </c>
      <c r="E16" s="27"/>
      <c r="F16" s="49">
        <f>2327.01+781.87+1346.56+416.6+930.8</f>
        <v>5802.8400000000011</v>
      </c>
      <c r="G16" s="27">
        <f>4654.02+1563.75+2693.12+833.2+1861.61</f>
        <v>11605.7</v>
      </c>
      <c r="H16" s="27">
        <f>7520.97+2527.05+3008.39</f>
        <v>13056.41</v>
      </c>
      <c r="I16" s="30"/>
      <c r="J16" s="30"/>
      <c r="K16" s="12">
        <f t="shared" ref="K16:K32" si="8">SUM(C16:I16)</f>
        <v>55975</v>
      </c>
      <c r="L16" s="3">
        <f>6099.67+436.76</f>
        <v>6536.43</v>
      </c>
      <c r="M16" s="3">
        <f>296.97+579.98</f>
        <v>876.95</v>
      </c>
      <c r="N16" s="2">
        <f t="shared" ref="N16:N42" si="9">K16-L16-M16-R16</f>
        <v>15249.910000000003</v>
      </c>
      <c r="O16" s="2">
        <f t="shared" si="1"/>
        <v>22663.290000000005</v>
      </c>
      <c r="P16" s="18">
        <f t="shared" si="2"/>
        <v>33311.709999999992</v>
      </c>
      <c r="Q16" s="24"/>
      <c r="R16" s="25">
        <v>33311.71</v>
      </c>
    </row>
    <row r="17" spans="1:18" x14ac:dyDescent="0.25">
      <c r="A17" s="45">
        <v>11</v>
      </c>
      <c r="B17" s="16" t="s">
        <v>6</v>
      </c>
      <c r="C17" s="14">
        <f>3444.4+1030.63+497.69</f>
        <v>4972.72</v>
      </c>
      <c r="D17" s="27">
        <v>1532.5</v>
      </c>
      <c r="E17" s="27"/>
      <c r="F17" s="44">
        <v>504.47</v>
      </c>
      <c r="G17" s="44">
        <f>342.64+646.65+98.93+362.74+357.49</f>
        <v>1808.45</v>
      </c>
      <c r="H17" s="27"/>
      <c r="I17" s="30"/>
      <c r="J17" s="30"/>
      <c r="K17" s="12">
        <f t="shared" si="8"/>
        <v>8818.1400000000012</v>
      </c>
      <c r="L17" s="3">
        <v>820.71</v>
      </c>
      <c r="M17" s="3">
        <v>807.26</v>
      </c>
      <c r="N17" s="2">
        <f t="shared" si="9"/>
        <v>1474.3400000000011</v>
      </c>
      <c r="O17" s="2">
        <f t="shared" si="1"/>
        <v>3102.3100000000013</v>
      </c>
      <c r="P17" s="18">
        <f t="shared" si="2"/>
        <v>5715.83</v>
      </c>
      <c r="Q17" s="24"/>
      <c r="R17" s="25">
        <v>5715.83</v>
      </c>
    </row>
    <row r="18" spans="1:18" x14ac:dyDescent="0.25">
      <c r="A18" s="45">
        <v>12</v>
      </c>
      <c r="B18" s="16" t="s">
        <v>7</v>
      </c>
      <c r="C18" s="14">
        <v>4778.97</v>
      </c>
      <c r="D18" s="27"/>
      <c r="E18" s="27"/>
      <c r="F18" s="27"/>
      <c r="G18" s="27"/>
      <c r="H18" s="27"/>
      <c r="I18" s="30"/>
      <c r="J18" s="30"/>
      <c r="K18" s="12">
        <f t="shared" si="8"/>
        <v>4778.97</v>
      </c>
      <c r="L18" s="3">
        <v>304.74</v>
      </c>
      <c r="M18" s="3">
        <v>494.96</v>
      </c>
      <c r="N18" s="2">
        <f t="shared" si="9"/>
        <v>427.86000000000058</v>
      </c>
      <c r="O18" s="2">
        <f t="shared" si="1"/>
        <v>1227.5600000000006</v>
      </c>
      <c r="P18" s="18">
        <f t="shared" si="2"/>
        <v>3551.41</v>
      </c>
      <c r="Q18" s="24"/>
      <c r="R18" s="25">
        <v>3551.41</v>
      </c>
    </row>
    <row r="19" spans="1:18" x14ac:dyDescent="0.25">
      <c r="A19" s="45">
        <v>13</v>
      </c>
      <c r="B19" s="16" t="s">
        <v>59</v>
      </c>
      <c r="C19" s="14">
        <f>3780.12+1046.59+151.2</f>
        <v>4977.91</v>
      </c>
      <c r="D19" s="27"/>
      <c r="E19" s="27"/>
      <c r="F19" s="27">
        <v>126.86</v>
      </c>
      <c r="G19" s="27"/>
      <c r="H19" s="27">
        <f>1890.06+75.6</f>
        <v>1965.6599999999999</v>
      </c>
      <c r="I19" s="30"/>
      <c r="J19" s="30"/>
      <c r="K19" s="12">
        <f t="shared" si="8"/>
        <v>7070.4299999999994</v>
      </c>
      <c r="L19" s="3">
        <v>332.56</v>
      </c>
      <c r="M19" s="3">
        <v>540.57000000000005</v>
      </c>
      <c r="N19" s="2">
        <f t="shared" si="9"/>
        <v>6.8299999999990177</v>
      </c>
      <c r="O19" s="2">
        <f t="shared" si="1"/>
        <v>879.95999999999913</v>
      </c>
      <c r="P19" s="18">
        <f t="shared" si="2"/>
        <v>6190.47</v>
      </c>
      <c r="Q19" s="24"/>
      <c r="R19" s="25">
        <v>6190.47</v>
      </c>
    </row>
    <row r="20" spans="1:18" x14ac:dyDescent="0.25">
      <c r="A20" s="45">
        <v>14</v>
      </c>
      <c r="B20" s="16" t="s">
        <v>8</v>
      </c>
      <c r="C20" s="14">
        <f>6615.54+1920.31+1548.88</f>
        <v>10084.73</v>
      </c>
      <c r="D20" s="27">
        <v>3064.97</v>
      </c>
      <c r="E20" s="27"/>
      <c r="F20" s="27"/>
      <c r="G20" s="27"/>
      <c r="H20" s="27">
        <f>3307.77+774.44+1532.48</f>
        <v>5614.6900000000005</v>
      </c>
      <c r="I20" s="30"/>
      <c r="J20" s="30"/>
      <c r="K20" s="12">
        <f t="shared" si="8"/>
        <v>18764.39</v>
      </c>
      <c r="L20" s="3">
        <v>2333.63</v>
      </c>
      <c r="M20" s="3">
        <v>876.95</v>
      </c>
      <c r="N20" s="2">
        <f t="shared" si="9"/>
        <v>615.55999999999767</v>
      </c>
      <c r="O20" s="2">
        <f t="shared" si="1"/>
        <v>3826.1399999999976</v>
      </c>
      <c r="P20" s="18">
        <f t="shared" si="2"/>
        <v>14938.250000000002</v>
      </c>
      <c r="Q20" s="24"/>
      <c r="R20" s="25">
        <v>14938.25</v>
      </c>
    </row>
    <row r="21" spans="1:18" x14ac:dyDescent="0.25">
      <c r="A21" s="45">
        <v>15</v>
      </c>
      <c r="B21" s="16" t="s">
        <v>83</v>
      </c>
      <c r="C21" s="14">
        <f>2632.91+986.57</f>
        <v>3619.48</v>
      </c>
      <c r="D21" s="27"/>
      <c r="E21" s="27"/>
      <c r="F21" s="27"/>
      <c r="G21" s="27"/>
      <c r="H21" s="27">
        <v>987.34</v>
      </c>
      <c r="I21" s="30"/>
      <c r="J21" s="30"/>
      <c r="K21" s="12">
        <f t="shared" ref="K21" si="10">SUM(C21:I21)</f>
        <v>4606.82</v>
      </c>
      <c r="L21" s="3">
        <v>93.32</v>
      </c>
      <c r="M21" s="3">
        <v>337.39</v>
      </c>
      <c r="N21" s="2">
        <f t="shared" ref="N21" si="11">K21-L21-M21-R21</f>
        <v>6.8299999999999272</v>
      </c>
      <c r="O21" s="2">
        <f t="shared" ref="O21" si="12">SUM(L21:N21)</f>
        <v>437.53999999999991</v>
      </c>
      <c r="P21" s="18">
        <f t="shared" ref="P21" si="13">SUM(K21-O21)</f>
        <v>4169.28</v>
      </c>
      <c r="Q21" s="24"/>
      <c r="R21" s="25">
        <v>4169.28</v>
      </c>
    </row>
    <row r="22" spans="1:18" x14ac:dyDescent="0.25">
      <c r="A22" s="45">
        <v>16</v>
      </c>
      <c r="B22" s="16" t="s">
        <v>9</v>
      </c>
      <c r="C22" s="14">
        <f>3310+1195.76+364.1</f>
        <v>4869.8600000000006</v>
      </c>
      <c r="D22" s="27"/>
      <c r="E22" s="27"/>
      <c r="F22" s="27"/>
      <c r="G22" s="27"/>
      <c r="H22" s="27">
        <f>1655+182.05</f>
        <v>1837.05</v>
      </c>
      <c r="I22" s="30"/>
      <c r="J22" s="30"/>
      <c r="K22" s="12">
        <f t="shared" si="8"/>
        <v>6706.9100000000008</v>
      </c>
      <c r="L22" s="3">
        <v>325.19</v>
      </c>
      <c r="M22" s="3">
        <v>507.68</v>
      </c>
      <c r="N22" s="2">
        <f t="shared" si="9"/>
        <v>6.8300000000008367</v>
      </c>
      <c r="O22" s="2">
        <f t="shared" si="1"/>
        <v>839.70000000000084</v>
      </c>
      <c r="P22" s="18">
        <f t="shared" si="2"/>
        <v>5867.21</v>
      </c>
      <c r="Q22" s="24"/>
      <c r="R22" s="25">
        <v>5867.21</v>
      </c>
    </row>
    <row r="23" spans="1:18" x14ac:dyDescent="0.25">
      <c r="A23" s="45">
        <v>17</v>
      </c>
      <c r="B23" s="16" t="s">
        <v>77</v>
      </c>
      <c r="C23" s="14">
        <f>3705.64+1076.21</f>
        <v>4781.8500000000004</v>
      </c>
      <c r="D23" s="27"/>
      <c r="E23" s="27"/>
      <c r="F23" s="27"/>
      <c r="G23" s="27"/>
      <c r="H23" s="27">
        <v>1698.42</v>
      </c>
      <c r="I23" s="30"/>
      <c r="J23" s="30"/>
      <c r="K23" s="12">
        <f t="shared" si="8"/>
        <v>6480.27</v>
      </c>
      <c r="L23" s="3">
        <v>305.39</v>
      </c>
      <c r="M23" s="3">
        <v>495.36</v>
      </c>
      <c r="N23" s="2">
        <f t="shared" ref="N23" si="14">K23-L23-M23-R23</f>
        <v>6.8300000000008367</v>
      </c>
      <c r="O23" s="2">
        <f t="shared" ref="O23" si="15">SUM(L23:N23)</f>
        <v>807.58000000000084</v>
      </c>
      <c r="P23" s="18">
        <f t="shared" ref="P23" si="16">SUM(K23-O23)</f>
        <v>5672.69</v>
      </c>
      <c r="Q23" s="24"/>
      <c r="R23" s="25">
        <v>5672.69</v>
      </c>
    </row>
    <row r="24" spans="1:18" x14ac:dyDescent="0.25">
      <c r="A24" s="45">
        <v>18</v>
      </c>
      <c r="B24" s="16" t="s">
        <v>10</v>
      </c>
      <c r="C24" s="14">
        <f>16451.15+10438.25</f>
        <v>26889.4</v>
      </c>
      <c r="D24" s="27">
        <v>22209.05</v>
      </c>
      <c r="E24" s="27"/>
      <c r="F24" s="27">
        <v>932.57</v>
      </c>
      <c r="G24" s="27"/>
      <c r="H24" s="27"/>
      <c r="I24" s="30"/>
      <c r="J24" s="30"/>
      <c r="K24" s="12">
        <f t="shared" si="8"/>
        <v>50031.02</v>
      </c>
      <c r="L24" s="3">
        <v>10327.879999999999</v>
      </c>
      <c r="M24" s="3">
        <v>876.95</v>
      </c>
      <c r="N24" s="2">
        <f t="shared" si="9"/>
        <v>8700.9400000000023</v>
      </c>
      <c r="O24" s="2">
        <f t="shared" si="1"/>
        <v>19905.770000000004</v>
      </c>
      <c r="P24" s="18">
        <f t="shared" si="2"/>
        <v>30125.249999999993</v>
      </c>
      <c r="Q24" s="24"/>
      <c r="R24" s="25">
        <v>30125.25</v>
      </c>
    </row>
    <row r="25" spans="1:18" x14ac:dyDescent="0.25">
      <c r="A25" s="45">
        <v>19</v>
      </c>
      <c r="B25" s="16" t="s">
        <v>11</v>
      </c>
      <c r="C25" s="14">
        <f>15041.94+3343.34+5234.6</f>
        <v>23619.879999999997</v>
      </c>
      <c r="D25" s="27">
        <v>3008.39</v>
      </c>
      <c r="E25" s="27"/>
      <c r="F25" s="27"/>
      <c r="G25" s="27"/>
      <c r="H25" s="27"/>
      <c r="I25" s="30"/>
      <c r="J25" s="30"/>
      <c r="K25" s="12">
        <f t="shared" si="8"/>
        <v>26628.269999999997</v>
      </c>
      <c r="L25" s="3">
        <v>6144.52</v>
      </c>
      <c r="M25" s="3">
        <v>876.95</v>
      </c>
      <c r="N25" s="2">
        <f t="shared" si="9"/>
        <v>2394.6599999999962</v>
      </c>
      <c r="O25" s="2">
        <f t="shared" si="1"/>
        <v>9416.1299999999974</v>
      </c>
      <c r="P25" s="18">
        <f t="shared" si="2"/>
        <v>17212.14</v>
      </c>
      <c r="Q25" s="24"/>
      <c r="R25" s="25">
        <v>17212.14</v>
      </c>
    </row>
    <row r="26" spans="1:18" x14ac:dyDescent="0.25">
      <c r="A26" s="45">
        <v>20</v>
      </c>
      <c r="B26" s="16" t="s">
        <v>12</v>
      </c>
      <c r="C26" s="14">
        <f>6843.65+1604.88+1835.91</f>
        <v>10284.439999999999</v>
      </c>
      <c r="D26" s="27">
        <v>500</v>
      </c>
      <c r="E26" s="27"/>
      <c r="F26" s="27">
        <v>194.53</v>
      </c>
      <c r="G26" s="27"/>
      <c r="H26" s="27"/>
      <c r="I26" s="30"/>
      <c r="J26" s="30"/>
      <c r="K26" s="12">
        <f t="shared" si="8"/>
        <v>10978.97</v>
      </c>
      <c r="L26" s="3">
        <v>1788.82</v>
      </c>
      <c r="M26" s="3">
        <v>876.95</v>
      </c>
      <c r="N26" s="2">
        <f t="shared" si="9"/>
        <v>2086.0499999999993</v>
      </c>
      <c r="O26" s="2">
        <f t="shared" si="1"/>
        <v>4751.82</v>
      </c>
      <c r="P26" s="18">
        <f t="shared" si="2"/>
        <v>6227.15</v>
      </c>
      <c r="Q26" s="24"/>
      <c r="R26" s="25">
        <v>6227.15</v>
      </c>
    </row>
    <row r="27" spans="1:18" x14ac:dyDescent="0.25">
      <c r="A27" s="45">
        <v>21</v>
      </c>
      <c r="B27" s="16" t="s">
        <v>75</v>
      </c>
      <c r="C27" s="14">
        <f>15041.94+3343.34+5234.6</f>
        <v>23619.879999999997</v>
      </c>
      <c r="D27" s="27">
        <v>3008.39</v>
      </c>
      <c r="E27" s="27"/>
      <c r="F27" s="27"/>
      <c r="G27" s="27"/>
      <c r="H27" s="27">
        <f>7520.97+2617.3+1504.19</f>
        <v>11642.460000000001</v>
      </c>
      <c r="I27" s="30"/>
      <c r="J27" s="30"/>
      <c r="K27" s="12">
        <f t="shared" si="8"/>
        <v>38270.729999999996</v>
      </c>
      <c r="L27" s="3">
        <v>6144.52</v>
      </c>
      <c r="M27" s="3">
        <v>876.95</v>
      </c>
      <c r="N27" s="2">
        <f t="shared" si="9"/>
        <v>9713.2699999999932</v>
      </c>
      <c r="O27" s="2">
        <f t="shared" si="1"/>
        <v>16734.739999999994</v>
      </c>
      <c r="P27" s="18">
        <f t="shared" si="2"/>
        <v>21535.99</v>
      </c>
      <c r="Q27" s="24"/>
      <c r="R27" s="25">
        <v>21535.99</v>
      </c>
    </row>
    <row r="28" spans="1:18" x14ac:dyDescent="0.25">
      <c r="A28" s="45">
        <v>22</v>
      </c>
      <c r="B28" s="16" t="s">
        <v>13</v>
      </c>
      <c r="C28" s="14">
        <f>6843.65+1848.82+2189.97</f>
        <v>10882.439999999999</v>
      </c>
      <c r="D28" s="27"/>
      <c r="E28" s="27"/>
      <c r="F28" s="27"/>
      <c r="G28" s="27"/>
      <c r="H28" s="27"/>
      <c r="I28" s="30"/>
      <c r="J28" s="30"/>
      <c r="K28" s="12">
        <f t="shared" si="8"/>
        <v>10882.439999999999</v>
      </c>
      <c r="L28" s="3">
        <v>1814.41</v>
      </c>
      <c r="M28" s="3">
        <v>876.95</v>
      </c>
      <c r="N28" s="2">
        <f t="shared" si="9"/>
        <v>1673.9999999999991</v>
      </c>
      <c r="O28" s="2">
        <f t="shared" si="1"/>
        <v>4365.3599999999988</v>
      </c>
      <c r="P28" s="18">
        <f>SUM(K28-O28)+H28</f>
        <v>6517.08</v>
      </c>
      <c r="Q28" s="24"/>
      <c r="R28" s="25">
        <v>6517.08</v>
      </c>
    </row>
    <row r="29" spans="1:18" x14ac:dyDescent="0.25">
      <c r="A29" s="45">
        <v>23</v>
      </c>
      <c r="B29" s="16" t="s">
        <v>14</v>
      </c>
      <c r="C29" s="14">
        <f>3302.85+1809.95+297.26</f>
        <v>5410.06</v>
      </c>
      <c r="D29" s="27"/>
      <c r="E29" s="27"/>
      <c r="F29" s="27">
        <f>5179.1+466.12+1881.74+764.2</f>
        <v>8291.16</v>
      </c>
      <c r="G29" s="27"/>
      <c r="H29" s="27">
        <f>4503.89+405.35</f>
        <v>4909.2400000000007</v>
      </c>
      <c r="I29" s="30"/>
      <c r="J29" s="30"/>
      <c r="K29" s="12">
        <f t="shared" si="8"/>
        <v>18610.460000000003</v>
      </c>
      <c r="L29" s="3">
        <v>943.79</v>
      </c>
      <c r="M29" s="3">
        <v>876.95</v>
      </c>
      <c r="N29" s="2">
        <f t="shared" si="9"/>
        <v>6380.8100000000013</v>
      </c>
      <c r="O29" s="2">
        <f t="shared" si="1"/>
        <v>8201.5500000000011</v>
      </c>
      <c r="P29" s="18">
        <f t="shared" si="2"/>
        <v>10408.910000000002</v>
      </c>
      <c r="Q29" s="24"/>
      <c r="R29" s="25">
        <v>10408.91</v>
      </c>
    </row>
    <row r="30" spans="1:18" x14ac:dyDescent="0.25">
      <c r="A30" s="45">
        <v>24</v>
      </c>
      <c r="B30" s="16" t="s">
        <v>15</v>
      </c>
      <c r="C30" s="14">
        <f>5934.35+1761.83+1717.38</f>
        <v>9413.5600000000013</v>
      </c>
      <c r="D30" s="27">
        <v>1532.5</v>
      </c>
      <c r="E30" s="27"/>
      <c r="F30" s="27"/>
      <c r="G30" s="27"/>
      <c r="H30" s="27"/>
      <c r="I30" s="30"/>
      <c r="J30" s="30"/>
      <c r="K30" s="12">
        <f t="shared" si="8"/>
        <v>10946.060000000001</v>
      </c>
      <c r="L30" s="3">
        <v>1779.77</v>
      </c>
      <c r="M30" s="3">
        <v>876.95</v>
      </c>
      <c r="N30" s="2">
        <f t="shared" si="9"/>
        <v>787.5</v>
      </c>
      <c r="O30" s="2">
        <f t="shared" si="1"/>
        <v>3444.2200000000003</v>
      </c>
      <c r="P30" s="18">
        <f t="shared" si="2"/>
        <v>7501.8400000000011</v>
      </c>
      <c r="Q30" s="24"/>
      <c r="R30" s="25">
        <v>7501.84</v>
      </c>
    </row>
    <row r="31" spans="1:18" x14ac:dyDescent="0.25">
      <c r="A31" s="45">
        <v>25</v>
      </c>
      <c r="B31" s="16" t="s">
        <v>86</v>
      </c>
      <c r="C31" s="14">
        <v>3705.64</v>
      </c>
      <c r="D31" s="27"/>
      <c r="E31" s="27"/>
      <c r="F31" s="27"/>
      <c r="G31" s="27"/>
      <c r="H31" s="27">
        <v>1080.81</v>
      </c>
      <c r="I31" s="30"/>
      <c r="J31" s="30"/>
      <c r="K31" s="12">
        <f t="shared" si="8"/>
        <v>4786.45</v>
      </c>
      <c r="L31" s="3">
        <v>106.25</v>
      </c>
      <c r="M31" s="3">
        <v>347.73</v>
      </c>
      <c r="N31" s="2">
        <f t="shared" ref="N31" si="17">K31-L31-M31-R31</f>
        <v>197.15999999999894</v>
      </c>
      <c r="O31" s="2">
        <f t="shared" ref="O31" si="18">SUM(L31:N31)</f>
        <v>651.13999999999896</v>
      </c>
      <c r="P31" s="18">
        <f t="shared" ref="P31" si="19">SUM(K31-O31)</f>
        <v>4135.3100000000013</v>
      </c>
      <c r="Q31" s="24"/>
      <c r="R31" s="25">
        <v>4135.3100000000004</v>
      </c>
    </row>
    <row r="32" spans="1:18" x14ac:dyDescent="0.25">
      <c r="A32" s="45">
        <v>26</v>
      </c>
      <c r="B32" s="16" t="s">
        <v>16</v>
      </c>
      <c r="C32" s="14">
        <f>6307.15+1197.74+2081.36</f>
        <v>9586.25</v>
      </c>
      <c r="D32" s="27"/>
      <c r="E32" s="27"/>
      <c r="F32" s="27">
        <v>798.5</v>
      </c>
      <c r="G32" s="27">
        <v>399.25</v>
      </c>
      <c r="H32" s="27">
        <f>3153.58+1040.68</f>
        <v>4194.26</v>
      </c>
      <c r="I32" s="30"/>
      <c r="J32" s="30"/>
      <c r="K32" s="12">
        <f t="shared" si="8"/>
        <v>14978.26</v>
      </c>
      <c r="L32" s="3">
        <v>1729.68</v>
      </c>
      <c r="M32" s="3">
        <v>876.95</v>
      </c>
      <c r="N32" s="2">
        <f t="shared" si="9"/>
        <v>270.52999999999884</v>
      </c>
      <c r="O32" s="2">
        <f t="shared" si="1"/>
        <v>2877.1599999999989</v>
      </c>
      <c r="P32" s="18">
        <f t="shared" si="2"/>
        <v>12101.100000000002</v>
      </c>
      <c r="Q32" s="24"/>
      <c r="R32" s="25">
        <v>12101.1</v>
      </c>
    </row>
    <row r="33" spans="1:18" x14ac:dyDescent="0.25">
      <c r="A33" s="45">
        <v>27</v>
      </c>
      <c r="B33" s="16" t="s">
        <v>57</v>
      </c>
      <c r="C33" s="14">
        <f>5932.58+979.46+296.63</f>
        <v>7208.67</v>
      </c>
      <c r="D33" s="27"/>
      <c r="E33" s="27"/>
      <c r="F33" s="27">
        <v>544.73</v>
      </c>
      <c r="G33" s="27"/>
      <c r="H33" s="27">
        <f>2966.29+148.31</f>
        <v>3114.6</v>
      </c>
      <c r="I33" s="30"/>
      <c r="J33" s="30"/>
      <c r="K33" s="12">
        <f>SUM(C33:I33)</f>
        <v>10868</v>
      </c>
      <c r="L33" s="3">
        <v>1006.06</v>
      </c>
      <c r="M33" s="3">
        <v>876.95</v>
      </c>
      <c r="N33" s="2">
        <f t="shared" ref="N33" si="20">K33-L33-M33-R33</f>
        <v>41.770000000000437</v>
      </c>
      <c r="O33" s="2">
        <f t="shared" ref="O33" si="21">SUM(L33:N33)</f>
        <v>1924.7800000000004</v>
      </c>
      <c r="P33" s="18">
        <f>SUM(K33-O33)+H33</f>
        <v>12057.82</v>
      </c>
      <c r="Q33" s="24"/>
      <c r="R33" s="25">
        <v>8943.2199999999993</v>
      </c>
    </row>
    <row r="34" spans="1:18" x14ac:dyDescent="0.25">
      <c r="A34" s="45">
        <v>28</v>
      </c>
      <c r="B34" s="16" t="s">
        <v>17</v>
      </c>
      <c r="C34" s="14">
        <f>2665.59+1169.58+613.09</f>
        <v>4448.26</v>
      </c>
      <c r="D34" s="27"/>
      <c r="E34" s="27"/>
      <c r="F34" s="27">
        <v>141.77000000000001</v>
      </c>
      <c r="G34" s="27">
        <v>283.52999999999997</v>
      </c>
      <c r="H34" s="27"/>
      <c r="I34" s="30"/>
      <c r="J34" s="30"/>
      <c r="K34" s="12">
        <f>SUM(C34:I34)</f>
        <v>4873.5600000000004</v>
      </c>
      <c r="L34" s="3">
        <v>262.23</v>
      </c>
      <c r="M34" s="3">
        <v>468.51</v>
      </c>
      <c r="N34" s="2">
        <f t="shared" si="9"/>
        <v>746.1899999999996</v>
      </c>
      <c r="O34" s="2">
        <f t="shared" si="1"/>
        <v>1476.9299999999996</v>
      </c>
      <c r="P34" s="18">
        <f>SUM(K34-O34)+H34</f>
        <v>3396.630000000001</v>
      </c>
      <c r="Q34" s="24"/>
      <c r="R34" s="25">
        <v>3396.63</v>
      </c>
    </row>
    <row r="35" spans="1:18" x14ac:dyDescent="0.25">
      <c r="A35" s="45">
        <v>29</v>
      </c>
      <c r="B35" s="16" t="s">
        <v>18</v>
      </c>
      <c r="C35" s="14">
        <f>3307.77+1914.3+555.7</f>
        <v>5777.7699999999995</v>
      </c>
      <c r="D35" s="27">
        <v>661.55</v>
      </c>
      <c r="E35" s="27"/>
      <c r="F35" s="27">
        <f>591.59+2957.94+496.93+1348.82+638.1</f>
        <v>6033.38</v>
      </c>
      <c r="G35" s="27">
        <f>425.4</f>
        <v>425.4</v>
      </c>
      <c r="H35" s="27"/>
      <c r="I35" s="30"/>
      <c r="J35" s="30"/>
      <c r="K35" s="12">
        <f>SUM(C35:I35)</f>
        <v>12898.1</v>
      </c>
      <c r="L35" s="3">
        <f>916.13+438.9</f>
        <v>1355.03</v>
      </c>
      <c r="M35" s="3">
        <f>295.71+581.24</f>
        <v>876.95</v>
      </c>
      <c r="N35" s="2">
        <f t="shared" si="9"/>
        <v>4441.9099999999989</v>
      </c>
      <c r="O35" s="2">
        <f t="shared" si="1"/>
        <v>6673.8899999999994</v>
      </c>
      <c r="P35" s="18">
        <f t="shared" si="2"/>
        <v>6224.2100000000009</v>
      </c>
      <c r="Q35" s="24"/>
      <c r="R35" s="25">
        <v>6224.21</v>
      </c>
    </row>
    <row r="36" spans="1:18" x14ac:dyDescent="0.25">
      <c r="A36" s="45">
        <v>30</v>
      </c>
      <c r="B36" s="16" t="s">
        <v>19</v>
      </c>
      <c r="C36" s="14">
        <f>15041.94+3265.59+4873.59</f>
        <v>23181.119999999999</v>
      </c>
      <c r="D36" s="27">
        <v>3008.39</v>
      </c>
      <c r="E36" s="27"/>
      <c r="F36" s="27"/>
      <c r="G36" s="27"/>
      <c r="H36" s="27"/>
      <c r="I36" s="30"/>
      <c r="J36" s="30"/>
      <c r="K36" s="12">
        <f t="shared" ref="K36:K42" si="22">SUM(C36:I36)</f>
        <v>26189.51</v>
      </c>
      <c r="L36" s="3">
        <v>6075.99</v>
      </c>
      <c r="M36" s="3">
        <v>876.95</v>
      </c>
      <c r="N36" s="2">
        <f t="shared" si="9"/>
        <v>463.58999999999651</v>
      </c>
      <c r="O36" s="2">
        <f t="shared" si="1"/>
        <v>7416.5299999999961</v>
      </c>
      <c r="P36" s="18">
        <f t="shared" si="2"/>
        <v>18772.980000000003</v>
      </c>
      <c r="Q36" s="24"/>
      <c r="R36" s="25">
        <v>18772.98</v>
      </c>
    </row>
    <row r="37" spans="1:18" x14ac:dyDescent="0.25">
      <c r="A37" s="45">
        <v>31</v>
      </c>
      <c r="B37" s="16" t="s">
        <v>78</v>
      </c>
      <c r="C37" s="14">
        <f>5262.28+1447.53</f>
        <v>6709.8099999999995</v>
      </c>
      <c r="D37" s="27">
        <v>1052.46</v>
      </c>
      <c r="E37" s="27"/>
      <c r="F37" s="27"/>
      <c r="G37" s="27"/>
      <c r="H37" s="27">
        <f>2411.88+482.38</f>
        <v>2894.26</v>
      </c>
      <c r="I37" s="30"/>
      <c r="J37" s="30"/>
      <c r="K37" s="12">
        <f t="shared" si="22"/>
        <v>10656.529999999999</v>
      </c>
      <c r="L37" s="3">
        <v>1008.5</v>
      </c>
      <c r="M37" s="3">
        <v>876.95</v>
      </c>
      <c r="N37" s="2">
        <f t="shared" ref="N37" si="23">K37-L37-M37-R37</f>
        <v>6.8299999999981083</v>
      </c>
      <c r="O37" s="2">
        <f t="shared" ref="O37" si="24">SUM(L37:N37)</f>
        <v>1892.2799999999982</v>
      </c>
      <c r="P37" s="18">
        <f t="shared" ref="P37" si="25">SUM(K37-O37)</f>
        <v>8764.25</v>
      </c>
      <c r="Q37" s="24"/>
      <c r="R37" s="25">
        <v>8764.25</v>
      </c>
    </row>
    <row r="38" spans="1:18" x14ac:dyDescent="0.25">
      <c r="A38" s="45">
        <v>32</v>
      </c>
      <c r="B38" s="16" t="s">
        <v>58</v>
      </c>
      <c r="C38" s="14">
        <f>6485.19+1860.11+1011.69</f>
        <v>9356.99</v>
      </c>
      <c r="D38" s="27">
        <v>1297.04</v>
      </c>
      <c r="E38" s="27"/>
      <c r="F38" s="27"/>
      <c r="G38" s="27"/>
      <c r="H38" s="27"/>
      <c r="I38" s="30"/>
      <c r="J38" s="30"/>
      <c r="K38" s="12">
        <f t="shared" si="22"/>
        <v>10654.029999999999</v>
      </c>
      <c r="L38" s="3">
        <v>1803.74</v>
      </c>
      <c r="M38" s="3">
        <v>876.95</v>
      </c>
      <c r="N38" s="2">
        <f t="shared" si="9"/>
        <v>31.829999999999018</v>
      </c>
      <c r="O38" s="2">
        <f t="shared" si="1"/>
        <v>2712.5199999999991</v>
      </c>
      <c r="P38" s="18">
        <f t="shared" si="2"/>
        <v>7941.51</v>
      </c>
      <c r="Q38" s="24"/>
      <c r="R38" s="25">
        <v>7941.51</v>
      </c>
    </row>
    <row r="39" spans="1:18" x14ac:dyDescent="0.25">
      <c r="A39" s="45">
        <v>33</v>
      </c>
      <c r="B39" s="16" t="s">
        <v>20</v>
      </c>
      <c r="C39" s="14">
        <f>6170.44+1707.2+756.41</f>
        <v>8634.0499999999993</v>
      </c>
      <c r="D39" s="27">
        <v>2234.09</v>
      </c>
      <c r="E39" s="27"/>
      <c r="F39" s="27"/>
      <c r="G39" s="27"/>
      <c r="H39" s="27"/>
      <c r="I39" s="30"/>
      <c r="J39" s="30"/>
      <c r="K39" s="12">
        <f t="shared" si="22"/>
        <v>10868.14</v>
      </c>
      <c r="L39" s="3">
        <v>1758.34</v>
      </c>
      <c r="M39" s="3">
        <v>876.95</v>
      </c>
      <c r="N39" s="2">
        <f t="shared" si="9"/>
        <v>2317.1499999999987</v>
      </c>
      <c r="O39" s="2">
        <f t="shared" si="1"/>
        <v>4952.4399999999987</v>
      </c>
      <c r="P39" s="18">
        <f>SUM(K39-O39)+H39</f>
        <v>5915.7000000000007</v>
      </c>
      <c r="Q39" s="24"/>
      <c r="R39" s="25">
        <v>5915.7</v>
      </c>
    </row>
    <row r="40" spans="1:18" x14ac:dyDescent="0.25">
      <c r="A40" s="45">
        <v>34</v>
      </c>
      <c r="B40" s="16" t="s">
        <v>55</v>
      </c>
      <c r="C40" s="14">
        <f>2794.89+1099.62+139.74</f>
        <v>4034.25</v>
      </c>
      <c r="D40" s="27"/>
      <c r="E40" s="27"/>
      <c r="F40" s="27"/>
      <c r="G40" s="27"/>
      <c r="H40" s="27">
        <f>1397.45+69.87</f>
        <v>1467.3200000000002</v>
      </c>
      <c r="I40" s="30"/>
      <c r="J40" s="30"/>
      <c r="K40" s="12">
        <f t="shared" si="22"/>
        <v>5501.57</v>
      </c>
      <c r="L40" s="3">
        <v>155.54</v>
      </c>
      <c r="M40" s="3">
        <v>390.7</v>
      </c>
      <c r="N40" s="2">
        <f t="shared" ref="N40" si="26">K40-L40-M40-R40</f>
        <v>20.800000000000182</v>
      </c>
      <c r="O40" s="2">
        <f t="shared" ref="O40" si="27">SUM(L40:N40)</f>
        <v>567.04000000000019</v>
      </c>
      <c r="P40" s="18">
        <f t="shared" ref="P40" si="28">SUM(K40-O40)</f>
        <v>4934.53</v>
      </c>
      <c r="Q40" s="24"/>
      <c r="R40" s="25">
        <v>4934.53</v>
      </c>
    </row>
    <row r="41" spans="1:18" x14ac:dyDescent="0.25">
      <c r="A41" s="45">
        <v>35</v>
      </c>
      <c r="B41" s="16" t="s">
        <v>21</v>
      </c>
      <c r="C41" s="14">
        <f>3842.8+1318.29+537.99</f>
        <v>5699.08</v>
      </c>
      <c r="D41" s="27"/>
      <c r="E41" s="27"/>
      <c r="F41" s="27"/>
      <c r="G41" s="27"/>
      <c r="H41" s="27">
        <f>1921.4+269</f>
        <v>2190.4</v>
      </c>
      <c r="I41" s="30"/>
      <c r="J41" s="30"/>
      <c r="K41" s="12">
        <f t="shared" si="22"/>
        <v>7889.48</v>
      </c>
      <c r="L41" s="3">
        <v>510.75</v>
      </c>
      <c r="M41" s="3">
        <v>623.77</v>
      </c>
      <c r="N41" s="2">
        <f t="shared" si="9"/>
        <v>1061.5299999999988</v>
      </c>
      <c r="O41" s="2">
        <f t="shared" si="1"/>
        <v>2196.0499999999988</v>
      </c>
      <c r="P41" s="18">
        <f t="shared" si="2"/>
        <v>5693.43</v>
      </c>
      <c r="Q41" s="24"/>
      <c r="R41" s="25">
        <v>5693.43</v>
      </c>
    </row>
    <row r="42" spans="1:18" x14ac:dyDescent="0.25">
      <c r="A42" s="45">
        <v>36</v>
      </c>
      <c r="B42" s="16" t="s">
        <v>22</v>
      </c>
      <c r="C42" s="14">
        <f>15041.94+3317.42+5054.09</f>
        <v>23413.45</v>
      </c>
      <c r="D42" s="27">
        <v>3008.39</v>
      </c>
      <c r="E42" s="27"/>
      <c r="F42" s="27"/>
      <c r="G42" s="27"/>
      <c r="H42" s="27">
        <f>7520.97+2527.04+1504.19</f>
        <v>11552.2</v>
      </c>
      <c r="I42" s="30"/>
      <c r="J42" s="30"/>
      <c r="K42" s="12">
        <f t="shared" si="22"/>
        <v>37974.04</v>
      </c>
      <c r="L42" s="3">
        <v>6035.61</v>
      </c>
      <c r="M42" s="3">
        <v>876.95</v>
      </c>
      <c r="N42" s="2">
        <f t="shared" si="9"/>
        <v>84.829999999998108</v>
      </c>
      <c r="O42" s="2">
        <f t="shared" si="1"/>
        <v>6997.3899999999976</v>
      </c>
      <c r="P42" s="18">
        <f t="shared" si="2"/>
        <v>30976.65</v>
      </c>
      <c r="Q42" s="24"/>
      <c r="R42" s="25">
        <v>30976.65</v>
      </c>
    </row>
    <row r="43" spans="1:18" x14ac:dyDescent="0.25">
      <c r="A43" s="45">
        <v>37</v>
      </c>
      <c r="B43" s="34" t="s">
        <v>23</v>
      </c>
      <c r="C43" s="35">
        <f>2172.49+1181.62+306.98+188.91</f>
        <v>3849.9999999999995</v>
      </c>
      <c r="D43" s="28"/>
      <c r="E43" s="28"/>
      <c r="F43" s="28"/>
      <c r="G43" s="28"/>
      <c r="H43" s="28">
        <f>1416.84+184.19</f>
        <v>1601.03</v>
      </c>
      <c r="I43" s="33"/>
      <c r="J43" s="33"/>
      <c r="K43" s="36">
        <f t="shared" ref="K43:K52" si="29">SUM(C43:I43)</f>
        <v>5451.03</v>
      </c>
      <c r="L43" s="37">
        <v>127.9</v>
      </c>
      <c r="M43" s="37">
        <v>365.05</v>
      </c>
      <c r="N43" s="38">
        <f t="shared" ref="N43:N64" si="30">K43-L43-M43-R43</f>
        <v>971.59999999999991</v>
      </c>
      <c r="O43" s="38">
        <f t="shared" si="1"/>
        <v>1464.55</v>
      </c>
      <c r="P43" s="39">
        <f t="shared" si="2"/>
        <v>3986.4799999999996</v>
      </c>
      <c r="Q43" s="24"/>
      <c r="R43" s="25">
        <v>3986.48</v>
      </c>
    </row>
    <row r="44" spans="1:18" x14ac:dyDescent="0.25">
      <c r="A44" s="45">
        <v>38</v>
      </c>
      <c r="B44" s="34" t="s">
        <v>79</v>
      </c>
      <c r="C44" s="35">
        <f>3705.64+1076.21</f>
        <v>4781.8500000000004</v>
      </c>
      <c r="D44" s="28"/>
      <c r="E44" s="28"/>
      <c r="F44" s="28"/>
      <c r="G44" s="28"/>
      <c r="H44" s="28">
        <v>1698.42</v>
      </c>
      <c r="I44" s="33"/>
      <c r="J44" s="33"/>
      <c r="K44" s="36">
        <f t="shared" ref="K44" si="31">SUM(C44:I44)</f>
        <v>6480.27</v>
      </c>
      <c r="L44" s="37">
        <v>270.07</v>
      </c>
      <c r="M44" s="37">
        <v>495.36</v>
      </c>
      <c r="N44" s="38">
        <f t="shared" ref="N44" si="32">K44-L44-M44-R44</f>
        <v>197.98000000000138</v>
      </c>
      <c r="O44" s="38">
        <f t="shared" ref="O44" si="33">SUM(L44:N44)</f>
        <v>963.41000000000145</v>
      </c>
      <c r="P44" s="39">
        <f t="shared" ref="P44" si="34">SUM(K44-O44)</f>
        <v>5516.8599999999988</v>
      </c>
      <c r="Q44" s="24"/>
      <c r="R44" s="25">
        <v>5516.86</v>
      </c>
    </row>
    <row r="45" spans="1:18" x14ac:dyDescent="0.25">
      <c r="A45" s="45">
        <v>39</v>
      </c>
      <c r="B45" s="16" t="s">
        <v>24</v>
      </c>
      <c r="C45" s="14">
        <f>4783.2+1514.75+1330.14</f>
        <v>7628.09</v>
      </c>
      <c r="D45" s="27">
        <v>1146.9000000000001</v>
      </c>
      <c r="E45" s="27"/>
      <c r="F45" s="27"/>
      <c r="G45" s="27"/>
      <c r="H45" s="27">
        <f>2391.6+665.07+500</f>
        <v>3556.67</v>
      </c>
      <c r="I45" s="31"/>
      <c r="J45" s="31"/>
      <c r="K45" s="12">
        <f t="shared" si="29"/>
        <v>12331.66</v>
      </c>
      <c r="L45" s="3">
        <v>1287</v>
      </c>
      <c r="M45" s="3">
        <v>876.95</v>
      </c>
      <c r="N45" s="2">
        <f t="shared" si="30"/>
        <v>634.58999999999833</v>
      </c>
      <c r="O45" s="2">
        <f t="shared" si="1"/>
        <v>2798.5399999999981</v>
      </c>
      <c r="P45" s="18">
        <f t="shared" si="2"/>
        <v>9533.1200000000026</v>
      </c>
      <c r="Q45" s="24"/>
      <c r="R45" s="25">
        <v>9533.1200000000008</v>
      </c>
    </row>
    <row r="46" spans="1:18" x14ac:dyDescent="0.25">
      <c r="A46" s="45">
        <v>40</v>
      </c>
      <c r="B46" s="16" t="s">
        <v>25</v>
      </c>
      <c r="C46" s="14">
        <f>8374.74+1937.34+1339.96</f>
        <v>11652.04</v>
      </c>
      <c r="D46" s="27"/>
      <c r="E46" s="27"/>
      <c r="F46" s="27">
        <f>1535.77+245.73+593.83+688.83</f>
        <v>3064.16</v>
      </c>
      <c r="G46" s="27">
        <v>430.52</v>
      </c>
      <c r="H46" s="27">
        <f>5024.85+803.98</f>
        <v>5828.83</v>
      </c>
      <c r="I46" s="31">
        <v>2141.67</v>
      </c>
      <c r="J46" s="31"/>
      <c r="K46" s="12">
        <f t="shared" si="29"/>
        <v>23117.22</v>
      </c>
      <c r="L46" s="3">
        <f>2879.8+912.03</f>
        <v>3791.83</v>
      </c>
      <c r="M46" s="3">
        <f>602.9+274.05</f>
        <v>876.95</v>
      </c>
      <c r="N46" s="2">
        <f t="shared" si="30"/>
        <v>2001.4699999999975</v>
      </c>
      <c r="O46" s="2">
        <f t="shared" si="1"/>
        <v>6670.2499999999973</v>
      </c>
      <c r="P46" s="18">
        <f t="shared" si="2"/>
        <v>16446.970000000005</v>
      </c>
      <c r="Q46" s="24"/>
      <c r="R46" s="25">
        <v>16446.97</v>
      </c>
    </row>
    <row r="47" spans="1:18" x14ac:dyDescent="0.25">
      <c r="A47" s="45">
        <v>41</v>
      </c>
      <c r="B47" s="16" t="s">
        <v>26</v>
      </c>
      <c r="C47" s="14">
        <f>5553.62+2576.75+2899.13</f>
        <v>11029.5</v>
      </c>
      <c r="D47" s="27">
        <v>5596.87</v>
      </c>
      <c r="E47" s="27"/>
      <c r="F47" s="27">
        <f>1242.36+671.61+1084.91+343.57+1340.76</f>
        <v>4683.21</v>
      </c>
      <c r="G47" s="27">
        <v>538.83000000000004</v>
      </c>
      <c r="H47" s="27">
        <f>3471.01+1811.95+3498.04</f>
        <v>8781</v>
      </c>
      <c r="I47" s="31"/>
      <c r="J47" s="31"/>
      <c r="K47" s="12">
        <f t="shared" si="29"/>
        <v>30629.41</v>
      </c>
      <c r="L47" s="3">
        <f>3636.57+205.89</f>
        <v>3842.46</v>
      </c>
      <c r="M47" s="3">
        <f>443.5+433.45</f>
        <v>876.95</v>
      </c>
      <c r="N47" s="2">
        <f>K47-L47-M47-R47</f>
        <v>4731.18</v>
      </c>
      <c r="O47" s="2">
        <f>SUM(L47:N47)</f>
        <v>9450.59</v>
      </c>
      <c r="P47" s="18">
        <f t="shared" si="2"/>
        <v>21178.82</v>
      </c>
      <c r="Q47" s="24"/>
      <c r="R47" s="25">
        <v>21178.82</v>
      </c>
    </row>
    <row r="48" spans="1:18" x14ac:dyDescent="0.25">
      <c r="A48" s="45">
        <v>42</v>
      </c>
      <c r="B48" s="16" t="s">
        <v>27</v>
      </c>
      <c r="C48" s="14">
        <f>6485.19+1909.49+1245.16</f>
        <v>9639.84</v>
      </c>
      <c r="D48" s="27">
        <v>1297.04</v>
      </c>
      <c r="E48" s="27"/>
      <c r="F48" s="27"/>
      <c r="G48" s="27"/>
      <c r="H48" s="27">
        <f>3242.6+622.58+648.52</f>
        <v>4513.7</v>
      </c>
      <c r="I48" s="31"/>
      <c r="J48" s="31"/>
      <c r="K48" s="12">
        <f t="shared" si="29"/>
        <v>15450.580000000002</v>
      </c>
      <c r="L48" s="3">
        <v>1777.25</v>
      </c>
      <c r="M48" s="3">
        <v>876.95</v>
      </c>
      <c r="N48" s="2">
        <f t="shared" si="30"/>
        <v>549.81000000000131</v>
      </c>
      <c r="O48" s="2">
        <f t="shared" si="1"/>
        <v>3204.0100000000011</v>
      </c>
      <c r="P48" s="18">
        <f t="shared" si="2"/>
        <v>12246.57</v>
      </c>
      <c r="Q48" s="24"/>
      <c r="R48" s="25">
        <v>12246.57</v>
      </c>
    </row>
    <row r="49" spans="1:18" x14ac:dyDescent="0.25">
      <c r="A49" s="45">
        <v>43</v>
      </c>
      <c r="B49" s="16" t="s">
        <v>80</v>
      </c>
      <c r="C49" s="14">
        <f>2632.91+986.57</f>
        <v>3619.48</v>
      </c>
      <c r="D49" s="27"/>
      <c r="E49" s="27"/>
      <c r="F49" s="27"/>
      <c r="G49" s="27"/>
      <c r="H49" s="27">
        <v>1206.75</v>
      </c>
      <c r="I49" s="31"/>
      <c r="J49" s="31"/>
      <c r="K49" s="12">
        <f t="shared" si="29"/>
        <v>4826.2299999999996</v>
      </c>
      <c r="L49" s="3">
        <v>93.32</v>
      </c>
      <c r="M49" s="3">
        <v>337.39</v>
      </c>
      <c r="N49" s="2">
        <f t="shared" ref="N49" si="35">K49-L49-M49-R49</f>
        <v>31.789999999999964</v>
      </c>
      <c r="O49" s="2">
        <f t="shared" ref="O49" si="36">SUM(L49:N49)</f>
        <v>462.49999999999994</v>
      </c>
      <c r="P49" s="18">
        <f t="shared" ref="P49" si="37">SUM(K49-O49)</f>
        <v>4363.7299999999996</v>
      </c>
      <c r="Q49" s="24"/>
      <c r="R49" s="25">
        <v>4363.7299999999996</v>
      </c>
    </row>
    <row r="50" spans="1:18" x14ac:dyDescent="0.25">
      <c r="A50" s="45">
        <v>44</v>
      </c>
      <c r="B50" s="16" t="s">
        <v>28</v>
      </c>
      <c r="C50" s="14">
        <f>7102.33+1816.8+2130.7</f>
        <v>11049.829999999998</v>
      </c>
      <c r="D50" s="27"/>
      <c r="E50" s="27"/>
      <c r="F50" s="27"/>
      <c r="G50" s="27"/>
      <c r="H50" s="27">
        <f>3551.17+1065.35</f>
        <v>4616.5200000000004</v>
      </c>
      <c r="I50" s="31"/>
      <c r="J50" s="31"/>
      <c r="K50" s="12">
        <f t="shared" si="29"/>
        <v>15666.349999999999</v>
      </c>
      <c r="L50" s="3">
        <v>1860.44</v>
      </c>
      <c r="M50" s="3">
        <v>876.95</v>
      </c>
      <c r="N50" s="2">
        <f t="shared" si="30"/>
        <v>632.28999999999724</v>
      </c>
      <c r="O50" s="2">
        <f t="shared" si="1"/>
        <v>3369.6799999999976</v>
      </c>
      <c r="P50" s="18">
        <f>SUM(K50-O50)+H50</f>
        <v>16913.190000000002</v>
      </c>
      <c r="Q50" s="24"/>
      <c r="R50" s="25">
        <v>12296.67</v>
      </c>
    </row>
    <row r="51" spans="1:18" x14ac:dyDescent="0.25">
      <c r="A51" s="45">
        <v>45</v>
      </c>
      <c r="B51" s="16" t="s">
        <v>29</v>
      </c>
      <c r="C51" s="14">
        <f>6485.19+1705.1+1011.69</f>
        <v>9201.98</v>
      </c>
      <c r="D51" s="27">
        <v>1297.04</v>
      </c>
      <c r="E51" s="27"/>
      <c r="F51" s="27">
        <v>206.68</v>
      </c>
      <c r="G51" s="27"/>
      <c r="H51" s="27"/>
      <c r="I51" s="31"/>
      <c r="J51" s="31"/>
      <c r="K51" s="12">
        <f t="shared" si="29"/>
        <v>10705.7</v>
      </c>
      <c r="L51" s="3">
        <v>1817.95</v>
      </c>
      <c r="M51" s="3">
        <v>876.95</v>
      </c>
      <c r="N51" s="2">
        <f t="shared" si="30"/>
        <v>996.10000000000036</v>
      </c>
      <c r="O51" s="2">
        <f t="shared" si="1"/>
        <v>3691.0000000000005</v>
      </c>
      <c r="P51" s="18">
        <f>SUM(K51-O51)+H51</f>
        <v>7014.7000000000007</v>
      </c>
      <c r="Q51" s="24"/>
      <c r="R51" s="25">
        <v>7014.7</v>
      </c>
    </row>
    <row r="52" spans="1:18" x14ac:dyDescent="0.25">
      <c r="A52" s="45">
        <v>46</v>
      </c>
      <c r="B52" s="16" t="s">
        <v>30</v>
      </c>
      <c r="C52" s="14">
        <f>5099.45+1496.93+713.92</f>
        <v>7310.3</v>
      </c>
      <c r="D52" s="27"/>
      <c r="E52" s="27"/>
      <c r="F52" s="27"/>
      <c r="G52" s="27"/>
      <c r="H52" s="27">
        <f>2549.73+356.96</f>
        <v>2906.69</v>
      </c>
      <c r="I52" s="31"/>
      <c r="J52" s="31"/>
      <c r="K52" s="12">
        <f t="shared" si="29"/>
        <v>10216.99</v>
      </c>
      <c r="L52" s="3">
        <v>787.53</v>
      </c>
      <c r="M52" s="3">
        <v>849.35</v>
      </c>
      <c r="N52" s="2">
        <f t="shared" si="30"/>
        <v>855.28999999999905</v>
      </c>
      <c r="O52" s="2">
        <f t="shared" si="1"/>
        <v>2492.1699999999992</v>
      </c>
      <c r="P52" s="18">
        <f t="shared" si="2"/>
        <v>7724.8200000000006</v>
      </c>
      <c r="Q52" s="24"/>
      <c r="R52" s="25">
        <v>7724.82</v>
      </c>
    </row>
    <row r="53" spans="1:18" x14ac:dyDescent="0.25">
      <c r="A53" s="45">
        <v>47</v>
      </c>
      <c r="B53" s="16" t="s">
        <v>31</v>
      </c>
      <c r="C53" s="14">
        <f>6485.19+2189.33+1271.1</f>
        <v>9945.6200000000008</v>
      </c>
      <c r="D53" s="27">
        <v>2594.08</v>
      </c>
      <c r="E53" s="27"/>
      <c r="F53" s="27"/>
      <c r="G53" s="27"/>
      <c r="H53" s="27">
        <f>3242.6+635.55+1297.04</f>
        <v>5175.1899999999996</v>
      </c>
      <c r="I53" s="31"/>
      <c r="J53" s="31"/>
      <c r="K53" s="12">
        <f t="shared" ref="K53:K61" si="38">SUM(C53:I53)</f>
        <v>17714.89</v>
      </c>
      <c r="L53" s="3">
        <v>2270.16</v>
      </c>
      <c r="M53" s="3">
        <v>876.95</v>
      </c>
      <c r="N53" s="2">
        <f t="shared" si="30"/>
        <v>254.71999999999935</v>
      </c>
      <c r="O53" s="2">
        <f t="shared" si="1"/>
        <v>3401.829999999999</v>
      </c>
      <c r="P53" s="18">
        <f t="shared" si="2"/>
        <v>14313.060000000001</v>
      </c>
      <c r="Q53" s="24"/>
      <c r="R53" s="25">
        <v>14313.06</v>
      </c>
    </row>
    <row r="54" spans="1:18" x14ac:dyDescent="0.25">
      <c r="A54" s="45">
        <v>48</v>
      </c>
      <c r="B54" s="16" t="s">
        <v>32</v>
      </c>
      <c r="C54" s="14">
        <f>6681.4+1502.16+668.14</f>
        <v>8851.6999999999989</v>
      </c>
      <c r="D54" s="27"/>
      <c r="E54" s="27"/>
      <c r="F54" s="27"/>
      <c r="G54" s="27"/>
      <c r="H54" s="27">
        <f>3340.7+334.07</f>
        <v>3674.77</v>
      </c>
      <c r="I54" s="31"/>
      <c r="J54" s="31"/>
      <c r="K54" s="12">
        <f t="shared" si="38"/>
        <v>12526.47</v>
      </c>
      <c r="L54" s="3">
        <v>1255.96</v>
      </c>
      <c r="M54" s="3">
        <v>876.95</v>
      </c>
      <c r="N54" s="2">
        <f t="shared" si="30"/>
        <v>1012.3799999999974</v>
      </c>
      <c r="O54" s="2">
        <f t="shared" si="1"/>
        <v>3145.2899999999972</v>
      </c>
      <c r="P54" s="18">
        <f t="shared" si="2"/>
        <v>9381.1800000000021</v>
      </c>
      <c r="Q54" s="24"/>
      <c r="R54" s="25">
        <v>9381.18</v>
      </c>
    </row>
    <row r="55" spans="1:18" x14ac:dyDescent="0.25">
      <c r="A55" s="45">
        <v>49</v>
      </c>
      <c r="B55" s="16" t="s">
        <v>54</v>
      </c>
      <c r="C55" s="14">
        <f>2794.89+1099.62+139.74</f>
        <v>4034.25</v>
      </c>
      <c r="D55" s="27"/>
      <c r="E55" s="27"/>
      <c r="F55" s="27"/>
      <c r="G55" s="27"/>
      <c r="H55" s="27">
        <f>1397.45+69.87</f>
        <v>1467.3200000000002</v>
      </c>
      <c r="I55" s="31"/>
      <c r="J55" s="31"/>
      <c r="K55" s="12">
        <f t="shared" si="38"/>
        <v>5501.57</v>
      </c>
      <c r="L55" s="3">
        <v>155.54</v>
      </c>
      <c r="M55" s="3">
        <v>390.7</v>
      </c>
      <c r="N55" s="2">
        <f t="shared" ref="N55" si="39">K55-L55-M55-R55</f>
        <v>6.8299999999999272</v>
      </c>
      <c r="O55" s="2">
        <f t="shared" ref="O55" si="40">SUM(L55:N55)</f>
        <v>553.06999999999994</v>
      </c>
      <c r="P55" s="18">
        <f t="shared" ref="P55" si="41">SUM(K55-O55)</f>
        <v>4948.5</v>
      </c>
      <c r="Q55" s="24"/>
      <c r="R55" s="25">
        <v>4948.5</v>
      </c>
    </row>
    <row r="56" spans="1:18" x14ac:dyDescent="0.25">
      <c r="A56" s="45">
        <v>50</v>
      </c>
      <c r="B56" s="16" t="s">
        <v>33</v>
      </c>
      <c r="C56" s="14">
        <f>15041.94+3063.49+5595.6</f>
        <v>23701.03</v>
      </c>
      <c r="D56" s="27">
        <v>3008.39</v>
      </c>
      <c r="E56" s="27"/>
      <c r="F56" s="27">
        <v>374.36</v>
      </c>
      <c r="G56" s="27"/>
      <c r="H56" s="27"/>
      <c r="I56" s="31"/>
      <c r="J56" s="31"/>
      <c r="K56" s="12">
        <f t="shared" si="38"/>
        <v>27083.78</v>
      </c>
      <c r="L56" s="3">
        <v>6321.92</v>
      </c>
      <c r="M56" s="3">
        <v>876.95</v>
      </c>
      <c r="N56" s="2">
        <f t="shared" si="30"/>
        <v>31.829999999998108</v>
      </c>
      <c r="O56" s="2">
        <f t="shared" si="1"/>
        <v>7230.699999999998</v>
      </c>
      <c r="P56" s="18">
        <f>SUM(K56-O56)+H56</f>
        <v>19853.080000000002</v>
      </c>
      <c r="Q56" s="24"/>
      <c r="R56" s="25">
        <v>19853.080000000002</v>
      </c>
    </row>
    <row r="57" spans="1:18" x14ac:dyDescent="0.25">
      <c r="A57" s="45">
        <v>51</v>
      </c>
      <c r="B57" s="16" t="s">
        <v>34</v>
      </c>
      <c r="C57" s="14">
        <f>2385.01+1225.1+381.6</f>
        <v>3991.71</v>
      </c>
      <c r="D57" s="27"/>
      <c r="E57" s="27"/>
      <c r="F57" s="27">
        <f>388.99+62.24+150.41+408.37</f>
        <v>1010.01</v>
      </c>
      <c r="G57" s="27">
        <v>272.24</v>
      </c>
      <c r="H57" s="27">
        <f>1431.01+228.96</f>
        <v>1659.97</v>
      </c>
      <c r="I57" s="31"/>
      <c r="J57" s="31"/>
      <c r="K57" s="12">
        <f t="shared" si="38"/>
        <v>6933.93</v>
      </c>
      <c r="L57" s="3">
        <v>219.49</v>
      </c>
      <c r="M57" s="3">
        <f>478.59+47.55</f>
        <v>526.14</v>
      </c>
      <c r="N57" s="2">
        <f t="shared" si="30"/>
        <v>600.19000000000051</v>
      </c>
      <c r="O57" s="2">
        <f t="shared" si="1"/>
        <v>1345.8200000000006</v>
      </c>
      <c r="P57" s="18">
        <f t="shared" si="2"/>
        <v>5588.11</v>
      </c>
      <c r="Q57" s="24"/>
      <c r="R57" s="25">
        <v>5588.11</v>
      </c>
    </row>
    <row r="58" spans="1:18" x14ac:dyDescent="0.25">
      <c r="A58" s="45">
        <v>52</v>
      </c>
      <c r="B58" s="16" t="s">
        <v>73</v>
      </c>
      <c r="C58" s="14">
        <f>3705.64+1006.24+84.11</f>
        <v>4795.99</v>
      </c>
      <c r="D58" s="27">
        <v>500</v>
      </c>
      <c r="E58" s="27"/>
      <c r="F58" s="27">
        <v>121.97</v>
      </c>
      <c r="G58" s="27">
        <v>243.93</v>
      </c>
      <c r="H58" s="27"/>
      <c r="I58" s="31"/>
      <c r="J58" s="31"/>
      <c r="K58" s="12">
        <f t="shared" si="38"/>
        <v>5661.89</v>
      </c>
      <c r="L58" s="3">
        <v>444.26</v>
      </c>
      <c r="M58" s="3">
        <v>584.41999999999996</v>
      </c>
      <c r="N58" s="2">
        <f t="shared" ref="N58" si="42">K58-L58-M58-R58</f>
        <v>38.029999999999745</v>
      </c>
      <c r="O58" s="2">
        <f t="shared" ref="O58" si="43">SUM(L58:N58)</f>
        <v>1066.7099999999996</v>
      </c>
      <c r="P58" s="18">
        <f t="shared" ref="P58" si="44">SUM(K58-O58)</f>
        <v>4595.18</v>
      </c>
      <c r="Q58" s="24"/>
      <c r="R58" s="25">
        <v>4595.18</v>
      </c>
    </row>
    <row r="59" spans="1:18" x14ac:dyDescent="0.25">
      <c r="A59" s="45">
        <v>53</v>
      </c>
      <c r="B59" s="16" t="s">
        <v>81</v>
      </c>
      <c r="C59" s="14">
        <f>3705.64+1076.19</f>
        <v>4781.83</v>
      </c>
      <c r="D59" s="27"/>
      <c r="E59" s="27"/>
      <c r="F59" s="27"/>
      <c r="G59" s="27"/>
      <c r="H59" s="27">
        <v>1698.42</v>
      </c>
      <c r="I59" s="31"/>
      <c r="J59" s="31"/>
      <c r="K59" s="12">
        <f t="shared" si="38"/>
        <v>6480.25</v>
      </c>
      <c r="L59" s="3">
        <v>305.38</v>
      </c>
      <c r="M59" s="3">
        <v>495.36</v>
      </c>
      <c r="N59" s="2">
        <f t="shared" ref="N59" si="45">K59-L59-M59-R59</f>
        <v>38.030000000000655</v>
      </c>
      <c r="O59" s="2">
        <f t="shared" ref="O59" si="46">SUM(L59:N59)</f>
        <v>838.77000000000066</v>
      </c>
      <c r="P59" s="18">
        <f t="shared" ref="P59" si="47">SUM(K59-O59)</f>
        <v>5641.48</v>
      </c>
      <c r="Q59" s="24"/>
      <c r="R59" s="25">
        <v>5641.48</v>
      </c>
    </row>
    <row r="60" spans="1:18" x14ac:dyDescent="0.25">
      <c r="A60" s="45">
        <v>54</v>
      </c>
      <c r="B60" s="16" t="s">
        <v>35</v>
      </c>
      <c r="C60" s="14">
        <f>13144.39+3879.61+6256.73</f>
        <v>23280.73</v>
      </c>
      <c r="D60" s="27">
        <v>5257.76</v>
      </c>
      <c r="E60" s="27"/>
      <c r="F60" s="27"/>
      <c r="G60" s="27"/>
      <c r="H60" s="27"/>
      <c r="I60" s="31"/>
      <c r="J60" s="31"/>
      <c r="K60" s="12">
        <f t="shared" si="38"/>
        <v>28538.489999999998</v>
      </c>
      <c r="L60" s="3">
        <v>6669.83</v>
      </c>
      <c r="M60" s="3">
        <v>876.95</v>
      </c>
      <c r="N60" s="2">
        <f t="shared" si="30"/>
        <v>1776.3199999999961</v>
      </c>
      <c r="O60" s="2">
        <f t="shared" si="1"/>
        <v>9323.0999999999949</v>
      </c>
      <c r="P60" s="18">
        <f>SUM(K60-O60)+H60</f>
        <v>19215.390000000003</v>
      </c>
      <c r="Q60" s="24"/>
      <c r="R60" s="25">
        <v>19215.39</v>
      </c>
    </row>
    <row r="61" spans="1:18" x14ac:dyDescent="0.25">
      <c r="A61" s="45">
        <v>55</v>
      </c>
      <c r="B61" s="16" t="s">
        <v>36</v>
      </c>
      <c r="C61" s="14">
        <f>5283.63+1246.07+1637.93</f>
        <v>8167.63</v>
      </c>
      <c r="D61" s="27"/>
      <c r="E61" s="27"/>
      <c r="F61" s="27">
        <v>553.80999999999995</v>
      </c>
      <c r="G61" s="27">
        <v>369.2</v>
      </c>
      <c r="H61" s="27"/>
      <c r="I61" s="31"/>
      <c r="J61" s="31"/>
      <c r="K61" s="12">
        <f t="shared" si="38"/>
        <v>9090.6400000000012</v>
      </c>
      <c r="L61" s="3">
        <v>1220.1400000000001</v>
      </c>
      <c r="M61" s="3">
        <v>876.95</v>
      </c>
      <c r="N61" s="2">
        <f t="shared" si="30"/>
        <v>1688.1100000000015</v>
      </c>
      <c r="O61" s="2">
        <f t="shared" si="1"/>
        <v>3785.2000000000016</v>
      </c>
      <c r="P61" s="18">
        <f t="shared" si="2"/>
        <v>5305.44</v>
      </c>
      <c r="Q61" s="24"/>
      <c r="R61" s="25">
        <v>5305.44</v>
      </c>
    </row>
    <row r="62" spans="1:18" x14ac:dyDescent="0.25">
      <c r="A62" s="45">
        <v>56</v>
      </c>
      <c r="B62" s="16" t="s">
        <v>60</v>
      </c>
      <c r="C62" s="14">
        <f>5368.05+1267.44+161.04</f>
        <v>6796.53</v>
      </c>
      <c r="D62" s="27">
        <v>367.25</v>
      </c>
      <c r="E62" s="27"/>
      <c r="F62" s="27"/>
      <c r="G62" s="27"/>
      <c r="H62" s="27">
        <f>2684.03+80.52</f>
        <v>2764.55</v>
      </c>
      <c r="I62" s="31"/>
      <c r="J62" s="31"/>
      <c r="K62" s="12">
        <f>SUM(C62:I62)</f>
        <v>9928.33</v>
      </c>
      <c r="L62" s="3">
        <v>857.15</v>
      </c>
      <c r="M62" s="3">
        <v>828.83</v>
      </c>
      <c r="N62" s="2">
        <f t="shared" ref="N62" si="48">K62-L62-M62-R62</f>
        <v>1123.2000000000007</v>
      </c>
      <c r="O62" s="2">
        <f t="shared" ref="O62" si="49">SUM(L62:N62)</f>
        <v>2809.1800000000007</v>
      </c>
      <c r="P62" s="18">
        <f t="shared" ref="P62" si="50">SUM(K62-O62)</f>
        <v>7119.15</v>
      </c>
      <c r="Q62" s="24"/>
      <c r="R62" s="25">
        <v>7119.15</v>
      </c>
    </row>
    <row r="63" spans="1:18" x14ac:dyDescent="0.25">
      <c r="A63" s="45">
        <v>57</v>
      </c>
      <c r="B63" s="50" t="s">
        <v>82</v>
      </c>
      <c r="C63" s="51">
        <f>3705.64+1076.21</f>
        <v>4781.8500000000004</v>
      </c>
      <c r="D63" s="52"/>
      <c r="E63" s="52"/>
      <c r="F63" s="52"/>
      <c r="G63" s="52"/>
      <c r="H63" s="52">
        <v>1698.42</v>
      </c>
      <c r="I63" s="53"/>
      <c r="J63" s="53"/>
      <c r="K63" s="12">
        <f>SUM(C63:I63)</f>
        <v>6480.27</v>
      </c>
      <c r="L63" s="54">
        <v>305.39</v>
      </c>
      <c r="M63" s="54">
        <v>495.36</v>
      </c>
      <c r="N63" s="2">
        <f t="shared" ref="N63" si="51">K63-L63-M63-R63</f>
        <v>38.030000000000655</v>
      </c>
      <c r="O63" s="2">
        <f t="shared" ref="O63" si="52">SUM(L63:N63)</f>
        <v>838.78000000000065</v>
      </c>
      <c r="P63" s="18">
        <f t="shared" ref="P63" si="53">SUM(K63-O63)</f>
        <v>5641.49</v>
      </c>
      <c r="Q63" s="24"/>
      <c r="R63" s="25">
        <v>5641.49</v>
      </c>
    </row>
    <row r="64" spans="1:18" ht="15.75" thickBot="1" x14ac:dyDescent="0.3">
      <c r="A64" s="45">
        <v>58</v>
      </c>
      <c r="B64" s="17" t="s">
        <v>37</v>
      </c>
      <c r="C64" s="15">
        <f>10150.18+2692.13+1989.44</f>
        <v>14831.750000000002</v>
      </c>
      <c r="D64" s="29">
        <v>4060.07</v>
      </c>
      <c r="E64" s="29"/>
      <c r="F64" s="29"/>
      <c r="G64" s="29"/>
      <c r="H64" s="29">
        <f>5075.09+994.72+2030.04</f>
        <v>8099.85</v>
      </c>
      <c r="I64" s="32">
        <v>2141.67</v>
      </c>
      <c r="J64" s="32"/>
      <c r="K64" s="13">
        <f>SUM(C64:J64)</f>
        <v>29133.340000000004</v>
      </c>
      <c r="L64" s="10">
        <v>4605.95</v>
      </c>
      <c r="M64" s="10">
        <v>876.95</v>
      </c>
      <c r="N64" s="11">
        <f t="shared" si="30"/>
        <v>69.630000000001019</v>
      </c>
      <c r="O64" s="11">
        <f t="shared" si="1"/>
        <v>5552.5300000000007</v>
      </c>
      <c r="P64" s="19">
        <f t="shared" si="2"/>
        <v>23580.810000000005</v>
      </c>
      <c r="Q64" s="24"/>
      <c r="R64" s="25">
        <v>23580.81</v>
      </c>
    </row>
    <row r="65" spans="2:16" ht="15.75" thickBot="1" x14ac:dyDescent="0.3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 x14ac:dyDescent="0.25">
      <c r="B66" s="64" t="s">
        <v>87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6"/>
    </row>
    <row r="67" spans="2:16" ht="5.25" customHeight="1" x14ac:dyDescent="0.25"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60"/>
    </row>
    <row r="68" spans="2:16" x14ac:dyDescent="0.25">
      <c r="B68" s="61" t="s">
        <v>69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3"/>
    </row>
    <row r="69" spans="2:16" x14ac:dyDescent="0.25">
      <c r="B69" s="58" t="s">
        <v>66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60"/>
    </row>
    <row r="70" spans="2:16" x14ac:dyDescent="0.25">
      <c r="B70" s="58" t="s">
        <v>67</v>
      </c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60"/>
    </row>
    <row r="71" spans="2:16" x14ac:dyDescent="0.25">
      <c r="B71" s="58" t="s">
        <v>68</v>
      </c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</row>
    <row r="72" spans="2:16" ht="15.75" thickBot="1" x14ac:dyDescent="0.3">
      <c r="B72" s="55" t="s">
        <v>84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7"/>
    </row>
    <row r="73" spans="2:16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46"/>
      <c r="L74" s="5"/>
      <c r="M74" s="5"/>
      <c r="N74" s="5"/>
      <c r="O74" s="46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8"/>
      <c r="L75" s="48"/>
      <c r="M75" s="48"/>
      <c r="N75" s="48"/>
      <c r="O75" s="48"/>
      <c r="P75" s="48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2:P72"/>
    <mergeCell ref="B67:P67"/>
    <mergeCell ref="B68:P68"/>
    <mergeCell ref="B69:P69"/>
    <mergeCell ref="B71:P71"/>
    <mergeCell ref="B70:P70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2023-07-24T19:19:19Z</cp:lastPrinted>
  <dcterms:created xsi:type="dcterms:W3CDTF">2016-04-28T12:49:34Z</dcterms:created>
  <dcterms:modified xsi:type="dcterms:W3CDTF">2023-07-24T19:30:31Z</dcterms:modified>
</cp:coreProperties>
</file>