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 checkCompatibility="1"/>
  <mc:AlternateContent xmlns:mc="http://schemas.openxmlformats.org/markup-compatibility/2006">
    <mc:Choice Requires="x15">
      <x15ac:absPath xmlns:x15ac="http://schemas.microsoft.com/office/spreadsheetml/2010/11/ac" url="\\Srv-fs\dados\User\Contabilidade\DPTO PESSOAL\01 - FOLHA DE PAGAMENTO 2021\PORTAL DA TRANSPARÊNCIA\MENSAL\2021\06 - JUNHO\"/>
    </mc:Choice>
  </mc:AlternateContent>
  <xr:revisionPtr revIDLastSave="0" documentId="13_ncr:1_{0AA8C663-1D42-4F6D-9310-91B545C1521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es" sheetId="6" r:id="rId1"/>
  </sheets>
  <definedNames>
    <definedName name="_xlnm.Print_Area" localSheetId="0">mes!$A$1:$P$69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60" i="6" l="1"/>
  <c r="C60" i="6"/>
  <c r="M59" i="6"/>
  <c r="G59" i="6"/>
  <c r="F59" i="6"/>
  <c r="H59" i="6"/>
  <c r="C59" i="6"/>
  <c r="H58" i="6"/>
  <c r="C58" i="6"/>
  <c r="F57" i="6"/>
  <c r="C57" i="6"/>
  <c r="C56" i="6"/>
  <c r="H55" i="6"/>
  <c r="K55" i="6" s="1"/>
  <c r="N55" i="6" s="1"/>
  <c r="O55" i="6" s="1"/>
  <c r="P55" i="6" s="1"/>
  <c r="C55" i="6"/>
  <c r="M54" i="6"/>
  <c r="F54" i="6"/>
  <c r="H54" i="6"/>
  <c r="C54" i="6"/>
  <c r="C53" i="6"/>
  <c r="H52" i="6"/>
  <c r="C52" i="6"/>
  <c r="H51" i="6"/>
  <c r="C51" i="6"/>
  <c r="C50" i="6"/>
  <c r="H49" i="6"/>
  <c r="C49" i="6"/>
  <c r="M48" i="6"/>
  <c r="L48" i="6"/>
  <c r="F48" i="6"/>
  <c r="H48" i="6"/>
  <c r="C48" i="6"/>
  <c r="M47" i="6"/>
  <c r="F47" i="6"/>
  <c r="C47" i="6"/>
  <c r="C46" i="6"/>
  <c r="C45" i="6"/>
  <c r="L44" i="6"/>
  <c r="F44" i="6"/>
  <c r="H44" i="6"/>
  <c r="C44" i="6"/>
  <c r="H43" i="6"/>
  <c r="C43" i="6"/>
  <c r="H42" i="6"/>
  <c r="C42" i="6"/>
  <c r="H41" i="6"/>
  <c r="C41" i="6"/>
  <c r="C40" i="6"/>
  <c r="H39" i="6"/>
  <c r="C39" i="6"/>
  <c r="H38" i="6"/>
  <c r="C38" i="6"/>
  <c r="H37" i="6"/>
  <c r="C37" i="6"/>
  <c r="C36" i="6"/>
  <c r="H35" i="6"/>
  <c r="C35" i="6"/>
  <c r="M34" i="6"/>
  <c r="L34" i="6"/>
  <c r="F34" i="6"/>
  <c r="C34" i="6"/>
  <c r="C33" i="6"/>
  <c r="H32" i="6"/>
  <c r="C32" i="6"/>
  <c r="H31" i="6"/>
  <c r="C31" i="6"/>
  <c r="C30" i="6"/>
  <c r="H29" i="6"/>
  <c r="C29" i="6"/>
  <c r="L28" i="6"/>
  <c r="F28" i="6"/>
  <c r="H28" i="6"/>
  <c r="C28" i="6"/>
  <c r="C27" i="6"/>
  <c r="F26" i="6"/>
  <c r="H26" i="6"/>
  <c r="C26" i="6"/>
  <c r="H25" i="6"/>
  <c r="C25" i="6"/>
  <c r="C24" i="6"/>
  <c r="C23" i="6"/>
  <c r="H22" i="6"/>
  <c r="C22" i="6"/>
  <c r="C21" i="6"/>
  <c r="C20" i="6"/>
  <c r="H19" i="6"/>
  <c r="C19" i="6"/>
  <c r="H18" i="6"/>
  <c r="C18" i="6"/>
  <c r="H17" i="6"/>
  <c r="C17" i="6"/>
  <c r="M16" i="6"/>
  <c r="F16" i="6"/>
  <c r="H16" i="6"/>
  <c r="C16" i="6"/>
  <c r="G15" i="6"/>
  <c r="H15" i="6"/>
  <c r="C15" i="6"/>
  <c r="D14" i="6"/>
  <c r="C14" i="6"/>
  <c r="H13" i="6"/>
  <c r="C13" i="6"/>
  <c r="K13" i="6" s="1"/>
  <c r="H12" i="6"/>
  <c r="C12" i="6"/>
  <c r="H11" i="6"/>
  <c r="C11" i="6"/>
  <c r="H10" i="6"/>
  <c r="C10" i="6"/>
  <c r="M9" i="6"/>
  <c r="H9" i="6"/>
  <c r="F9" i="6"/>
  <c r="C9" i="6"/>
  <c r="M8" i="6"/>
  <c r="F8" i="6"/>
  <c r="H8" i="6"/>
  <c r="C8" i="6"/>
  <c r="H7" i="6"/>
  <c r="C7" i="6"/>
  <c r="K10" i="6" l="1"/>
  <c r="N10" i="6" s="1"/>
  <c r="O10" i="6" s="1"/>
  <c r="P10" i="6" s="1"/>
  <c r="K43" i="6"/>
  <c r="K60" i="6"/>
  <c r="N13" i="6"/>
  <c r="O13" i="6" s="1"/>
  <c r="P13" i="6" s="1"/>
  <c r="K24" i="6"/>
  <c r="N24" i="6" s="1"/>
  <c r="O24" i="6" s="1"/>
  <c r="P24" i="6" s="1"/>
  <c r="K53" i="6" l="1"/>
  <c r="K45" i="6"/>
  <c r="K44" i="6"/>
  <c r="K42" i="6"/>
  <c r="K35" i="6"/>
  <c r="K46" i="6"/>
  <c r="K48" i="6"/>
  <c r="K49" i="6"/>
  <c r="K50" i="6"/>
  <c r="K51" i="6"/>
  <c r="K52" i="6"/>
  <c r="K54" i="6"/>
  <c r="K56" i="6"/>
  <c r="K57" i="6"/>
  <c r="K58" i="6"/>
  <c r="K59" i="6"/>
  <c r="K41" i="6"/>
  <c r="K40" i="6"/>
  <c r="K31" i="6"/>
  <c r="K32" i="6"/>
  <c r="K33" i="6"/>
  <c r="K34" i="6"/>
  <c r="K36" i="6"/>
  <c r="K37" i="6"/>
  <c r="K38" i="6"/>
  <c r="K39" i="6"/>
  <c r="K8" i="6"/>
  <c r="K9" i="6"/>
  <c r="K11" i="6"/>
  <c r="K12" i="6"/>
  <c r="K15" i="6"/>
  <c r="K16" i="6"/>
  <c r="K17" i="6"/>
  <c r="K18" i="6"/>
  <c r="K19" i="6"/>
  <c r="K20" i="6"/>
  <c r="K21" i="6"/>
  <c r="K22" i="6"/>
  <c r="K23" i="6"/>
  <c r="K25" i="6"/>
  <c r="K26" i="6"/>
  <c r="K27" i="6"/>
  <c r="K28" i="6"/>
  <c r="K29" i="6"/>
  <c r="K30" i="6"/>
  <c r="K7" i="6"/>
  <c r="K47" i="6" l="1"/>
  <c r="K14" i="6"/>
  <c r="N58" i="6" l="1"/>
  <c r="O58" i="6" s="1"/>
  <c r="P58" i="6" s="1"/>
  <c r="N59" i="6" l="1"/>
  <c r="O59" i="6" s="1"/>
  <c r="P59" i="6" s="1"/>
  <c r="N18" i="6" l="1"/>
  <c r="O18" i="6" s="1"/>
  <c r="P18" i="6" s="1"/>
  <c r="N32" i="6" l="1"/>
  <c r="O32" i="6" s="1"/>
  <c r="P32" i="6" s="1"/>
  <c r="N9" i="6" l="1"/>
  <c r="O9" i="6" s="1"/>
  <c r="P9" i="6" s="1"/>
  <c r="N38" i="6" l="1"/>
  <c r="O38" i="6" s="1"/>
  <c r="P38" i="6" s="1"/>
  <c r="N52" i="6" l="1"/>
  <c r="O52" i="6" s="1"/>
  <c r="P52" i="6" s="1"/>
  <c r="N25" i="6"/>
  <c r="O25" i="6" s="1"/>
  <c r="P25" i="6" s="1"/>
  <c r="N15" i="6" l="1"/>
  <c r="O15" i="6" s="1"/>
  <c r="P15" i="6" s="1"/>
  <c r="N12" i="6" l="1"/>
  <c r="O12" i="6" s="1"/>
  <c r="P12" i="6" s="1"/>
  <c r="N60" i="6"/>
  <c r="O60" i="6" s="1"/>
  <c r="P60" i="6" s="1"/>
  <c r="N54" i="6"/>
  <c r="O54" i="6" s="1"/>
  <c r="N51" i="6"/>
  <c r="O51" i="6" s="1"/>
  <c r="P51" i="6" s="1"/>
  <c r="N50" i="6"/>
  <c r="O50" i="6" s="1"/>
  <c r="P50" i="6" s="1"/>
  <c r="N49" i="6"/>
  <c r="O49" i="6" s="1"/>
  <c r="N48" i="6"/>
  <c r="O48" i="6" s="1"/>
  <c r="N45" i="6"/>
  <c r="O45" i="6" s="1"/>
  <c r="N44" i="6"/>
  <c r="O44" i="6" s="1"/>
  <c r="N43" i="6"/>
  <c r="O43" i="6" s="1"/>
  <c r="P43" i="6" s="1"/>
  <c r="N40" i="6"/>
  <c r="O40" i="6" s="1"/>
  <c r="P40" i="6" s="1"/>
  <c r="N36" i="6"/>
  <c r="O36" i="6" s="1"/>
  <c r="P36" i="6" s="1"/>
  <c r="N35" i="6"/>
  <c r="O35" i="6" s="1"/>
  <c r="P35" i="6" s="1"/>
  <c r="N34" i="6"/>
  <c r="O34" i="6" s="1"/>
  <c r="P34" i="6" s="1"/>
  <c r="N31" i="6"/>
  <c r="O31" i="6" s="1"/>
  <c r="P31" i="6" s="1"/>
  <c r="N30" i="6"/>
  <c r="O30" i="6" s="1"/>
  <c r="P30" i="6" s="1"/>
  <c r="N29" i="6"/>
  <c r="O29" i="6" s="1"/>
  <c r="P29" i="6" s="1"/>
  <c r="N28" i="6"/>
  <c r="O28" i="6" s="1"/>
  <c r="P28" i="6" s="1"/>
  <c r="N26" i="6"/>
  <c r="O26" i="6" s="1"/>
  <c r="P26" i="6" s="1"/>
  <c r="N23" i="6"/>
  <c r="O23" i="6" s="1"/>
  <c r="P23" i="6" s="1"/>
  <c r="N22" i="6"/>
  <c r="O22" i="6" s="1"/>
  <c r="P22" i="6" s="1"/>
  <c r="N21" i="6"/>
  <c r="O21" i="6" s="1"/>
  <c r="P21" i="6" s="1"/>
  <c r="N19" i="6"/>
  <c r="O19" i="6" s="1"/>
  <c r="P19" i="6" s="1"/>
  <c r="N7" i="6"/>
  <c r="O7" i="6" s="1"/>
  <c r="P7" i="6" s="1"/>
  <c r="N42" i="6" l="1"/>
  <c r="O42" i="6" s="1"/>
  <c r="P42" i="6" s="1"/>
  <c r="N8" i="6"/>
  <c r="N57" i="6"/>
  <c r="O57" i="6" s="1"/>
  <c r="P57" i="6" s="1"/>
  <c r="N16" i="6"/>
  <c r="O16" i="6" s="1"/>
  <c r="P16" i="6" s="1"/>
  <c r="N53" i="6"/>
  <c r="O53" i="6" s="1"/>
  <c r="P53" i="6" s="1"/>
  <c r="N46" i="6"/>
  <c r="O46" i="6" s="1"/>
  <c r="P46" i="6" s="1"/>
  <c r="N47" i="6"/>
  <c r="O47" i="6" s="1"/>
  <c r="P47" i="6" s="1"/>
  <c r="N56" i="6"/>
  <c r="O56" i="6" s="1"/>
  <c r="P56" i="6" s="1"/>
  <c r="N11" i="6"/>
  <c r="O11" i="6" s="1"/>
  <c r="P11" i="6" s="1"/>
  <c r="N33" i="6"/>
  <c r="O33" i="6" s="1"/>
  <c r="P33" i="6" s="1"/>
  <c r="N27" i="6"/>
  <c r="O27" i="6" s="1"/>
  <c r="P27" i="6" s="1"/>
  <c r="N37" i="6"/>
  <c r="O37" i="6" s="1"/>
  <c r="P37" i="6" s="1"/>
  <c r="N41" i="6"/>
  <c r="O41" i="6" s="1"/>
  <c r="P41" i="6" s="1"/>
  <c r="N20" i="6"/>
  <c r="O20" i="6" s="1"/>
  <c r="P20" i="6" s="1"/>
  <c r="N17" i="6"/>
  <c r="O17" i="6" s="1"/>
  <c r="P17" i="6" s="1"/>
  <c r="N14" i="6"/>
  <c r="O14" i="6" s="1"/>
  <c r="P14" i="6" s="1"/>
  <c r="P45" i="6"/>
  <c r="P44" i="6"/>
  <c r="P48" i="6"/>
  <c r="N39" i="6"/>
  <c r="O39" i="6" s="1"/>
  <c r="P39" i="6" s="1"/>
  <c r="P49" i="6"/>
  <c r="P54" i="6"/>
  <c r="O8" i="6" l="1"/>
  <c r="P8" i="6" l="1"/>
</calcChain>
</file>

<file path=xl/sharedStrings.xml><?xml version="1.0" encoding="utf-8"?>
<sst xmlns="http://schemas.openxmlformats.org/spreadsheetml/2006/main" count="87" uniqueCount="85">
  <si>
    <t>ADRIANA IAIZZO MAGALHAES</t>
  </si>
  <si>
    <t>ALBERTO AUGUSTO SPITZ</t>
  </si>
  <si>
    <t>ATILA COLONIA CUNNINGHAM</t>
  </si>
  <si>
    <t>BERNADETE DOS SANTOS GONCALVES</t>
  </si>
  <si>
    <t>CELITA ZAIDOVICZ PALTANIN</t>
  </si>
  <si>
    <t>DIRCEU DE FATIMA ZONATTO</t>
  </si>
  <si>
    <t>ELIZANDRA CARVALHO</t>
  </si>
  <si>
    <t>ELIZE SCHNEIDER DUARTE</t>
  </si>
  <si>
    <t>FABRIZIO GUIMARÃES</t>
  </si>
  <si>
    <t>FLAVIO AUGUSTO FORCELLI</t>
  </si>
  <si>
    <t>GERSON LUIZ BORGES DE MACEDO</t>
  </si>
  <si>
    <t>GILBERTO QUADROS</t>
  </si>
  <si>
    <t>GUILHERME CRISTIANO RIBEIRO</t>
  </si>
  <si>
    <t>IRAN LUIZ CORDEIRO</t>
  </si>
  <si>
    <t>JAQUELINE ANDREIA FORNAZARI KOHLER</t>
  </si>
  <si>
    <t>JEFERSON LUIZ LUCASKI</t>
  </si>
  <si>
    <t>JENIFER CORREA CECHETTI</t>
  </si>
  <si>
    <t>JERUZA FERNANDES MOURA BURGES</t>
  </si>
  <si>
    <t>JOAO WARDZINSKI</t>
  </si>
  <si>
    <t>LAURA POTIRA MOREIRA DE SOUZA</t>
  </si>
  <si>
    <t>LUCIANA CRISTINA CORRER</t>
  </si>
  <si>
    <t>LUIZ FELIPE WOLFF</t>
  </si>
  <si>
    <t>MANOEL MARCELINO AMARAL</t>
  </si>
  <si>
    <t>MARCO AURELIO ZELASKOS DE CARVALHO</t>
  </si>
  <si>
    <t>MARCOS EUCLIDES ALVES</t>
  </si>
  <si>
    <t>MARIA DE LOURDES BONINI DE ALMEIDA</t>
  </si>
  <si>
    <t>MARLA CRISTINA VASCONCELLOS MORAES</t>
  </si>
  <si>
    <t>MARTIN NEUFELD</t>
  </si>
  <si>
    <t>MAURICIO OSTROWSKI JUNIOR</t>
  </si>
  <si>
    <t>MICHEL DE MENEZES HIROMOTO</t>
  </si>
  <si>
    <t>NADJA NAYRA BAPTISTA ANDREACCI</t>
  </si>
  <si>
    <t>NEILA APARECIDA COSTENARO PAVELSKI</t>
  </si>
  <si>
    <t>NEILOR ARMOND LOPES</t>
  </si>
  <si>
    <t>RAFAEL MARCOS AMARAL</t>
  </si>
  <si>
    <t>ROGERS SILVA GARCEZ DAS NEVES</t>
  </si>
  <si>
    <t>RONALDO VELOSO DE ALCANTARA</t>
  </si>
  <si>
    <t>ROSANA APARECIDA SILVA CARDOSO</t>
  </si>
  <si>
    <t>VALDAIR DE SOUZA</t>
  </si>
  <si>
    <t>VALMIR CORREA DOS SANTOS</t>
  </si>
  <si>
    <t>WANDERLUCIO DOS SANTOS LEITE</t>
  </si>
  <si>
    <t>Remuneração</t>
  </si>
  <si>
    <t>Auxílios</t>
  </si>
  <si>
    <t>Total</t>
  </si>
  <si>
    <t>Rendimentos</t>
  </si>
  <si>
    <t>IR</t>
  </si>
  <si>
    <t>INSS</t>
  </si>
  <si>
    <t xml:space="preserve">Outros </t>
  </si>
  <si>
    <t>Descontos</t>
  </si>
  <si>
    <t>Total de</t>
  </si>
  <si>
    <t>Líquido</t>
  </si>
  <si>
    <t>Nome</t>
  </si>
  <si>
    <t>CONSELHO REGIONAL DE CONTABILIDADE DO PARANÁ</t>
  </si>
  <si>
    <t>FOLHA DE PAGAMENTO</t>
  </si>
  <si>
    <t xml:space="preserve">Honorário de </t>
  </si>
  <si>
    <t>Sucumbência</t>
  </si>
  <si>
    <t>13º Salário</t>
  </si>
  <si>
    <t>HELENA YURIKO HASEGAWA TORQUATO</t>
  </si>
  <si>
    <t>RONALD AURELIO KOCHOLIK</t>
  </si>
  <si>
    <t>MARCIA PORDEUS TORRES</t>
  </si>
  <si>
    <t>ALISSON BOBATO DALSANTO</t>
  </si>
  <si>
    <t>KARIN OLIVEIRA SILVA</t>
  </si>
  <si>
    <t>MAIRÊ APARECIDA DAHLEM</t>
  </si>
  <si>
    <t>ERYKA RENATA FERREIRA DE MELLO SENFF MAIA</t>
  </si>
  <si>
    <t>VINICIUS DECONTO GUIMARÃES</t>
  </si>
  <si>
    <t xml:space="preserve">OSMAR RODRIGUES DE MELLO   </t>
  </si>
  <si>
    <t>VICTORIA ROSSINI ANDREIU</t>
  </si>
  <si>
    <t>Gratificações</t>
  </si>
  <si>
    <t>Férias + 1/3</t>
  </si>
  <si>
    <t>Abono Pecuniário</t>
  </si>
  <si>
    <t>+ 1/3</t>
  </si>
  <si>
    <t>Adiantamento</t>
  </si>
  <si>
    <r>
      <rPr>
        <b/>
        <u/>
        <sz val="11"/>
        <color theme="1"/>
        <rFont val="Calibri"/>
        <family val="2"/>
        <scheme val="minor"/>
      </rPr>
      <t>Remuneração</t>
    </r>
    <r>
      <rPr>
        <b/>
        <sz val="11"/>
        <color theme="1"/>
        <rFont val="Calibri"/>
        <family val="2"/>
        <scheme val="minor"/>
      </rPr>
      <t>:</t>
    </r>
    <r>
      <rPr>
        <sz val="11"/>
        <color theme="1"/>
        <rFont val="Calibri"/>
        <family val="2"/>
        <scheme val="minor"/>
      </rPr>
      <t xml:space="preserve"> salário, hora extra, vantagem incorporada ao salário.</t>
    </r>
  </si>
  <si>
    <r>
      <rPr>
        <b/>
        <u/>
        <sz val="11"/>
        <color theme="1"/>
        <rFont val="Calibri"/>
        <family val="2"/>
        <scheme val="minor"/>
      </rPr>
      <t>Gratificações</t>
    </r>
    <r>
      <rPr>
        <b/>
        <sz val="11"/>
        <color theme="1"/>
        <rFont val="Calibri"/>
        <family val="2"/>
        <scheme val="minor"/>
      </rPr>
      <t>:</t>
    </r>
    <r>
      <rPr>
        <sz val="11"/>
        <color theme="1"/>
        <rFont val="Calibri"/>
        <family val="2"/>
        <scheme val="minor"/>
      </rPr>
      <t xml:space="preserve"> gratificações inerentes ao exercício de uma especialidade, pelo exercício de função de confiança, pela qualificação e pelo aperfeiçoamento.</t>
    </r>
  </si>
  <si>
    <r>
      <rPr>
        <b/>
        <u/>
        <sz val="11"/>
        <color theme="1"/>
        <rFont val="Calibri"/>
        <family val="2"/>
        <scheme val="minor"/>
      </rPr>
      <t>Auxílios</t>
    </r>
    <r>
      <rPr>
        <sz val="11"/>
        <color theme="1"/>
        <rFont val="Calibri"/>
        <family val="2"/>
        <scheme val="minor"/>
      </rPr>
      <t>: auxílio pós graduação.</t>
    </r>
  </si>
  <si>
    <r>
      <rPr>
        <b/>
        <u/>
        <sz val="11"/>
        <color rgb="FFFF0000"/>
        <rFont val="Calibri"/>
        <family val="2"/>
        <scheme val="minor"/>
      </rPr>
      <t>Descrição dos Campos</t>
    </r>
    <r>
      <rPr>
        <b/>
        <sz val="11"/>
        <color rgb="FFFF0000"/>
        <rFont val="Calibri"/>
        <family val="2"/>
        <scheme val="minor"/>
      </rPr>
      <t>:</t>
    </r>
  </si>
  <si>
    <t>GUSTAVO ELIAS MUENZ</t>
  </si>
  <si>
    <t>Indenização</t>
  </si>
  <si>
    <t>PDV</t>
  </si>
  <si>
    <t>CARLOS ALBERTO JUNGLES DE CAMARGO</t>
  </si>
  <si>
    <t>SARA EMMANUELLE MARTINS SCARPETTA</t>
  </si>
  <si>
    <t>ANA PAULA ANBIEL GAIGNER</t>
  </si>
  <si>
    <t>JUNHO/2021</t>
  </si>
  <si>
    <t>A concessão do vale alimentação e/ou vale refeição aos funcionários do CRCPR é realizada por meio de cartão magnético. O benefício é disponibilizado mensalmente no valor de R$ 49,72 (quarenta e nove reais e setenta e dois centavos)</t>
  </si>
  <si>
    <t>recebidos por 22 dias mensais, descontando do funcionário o percentual de 0,50% (meio por cento) sobre o valor total dos vales fornecidos no período.</t>
  </si>
  <si>
    <r>
      <rPr>
        <b/>
        <u/>
        <sz val="11"/>
        <color theme="1"/>
        <rFont val="Calibri"/>
        <family val="2"/>
        <scheme val="minor"/>
      </rPr>
      <t>Outros descontos</t>
    </r>
    <r>
      <rPr>
        <b/>
        <sz val="11"/>
        <color theme="1"/>
        <rFont val="Calibri"/>
        <family val="2"/>
        <scheme val="minor"/>
      </rPr>
      <t>:</t>
    </r>
    <r>
      <rPr>
        <sz val="11"/>
        <color theme="1"/>
        <rFont val="Calibri"/>
        <family val="2"/>
        <scheme val="minor"/>
      </rPr>
      <t xml:space="preserve"> consignação, plano de saúde, alimentação/refeição, vale transporte, pensão alimentícia, entre outros.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</si>
</sst>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#,##0.00_ ;\-#,##0.00\ 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b/>
      <sz val="13"/>
      <color theme="1"/>
      <name val="Times New Roman"/>
      <family val="1"/>
    </font>
    <font>
      <b/>
      <u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28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74">
    <xf numFmtId="0" fontId="0" fillId="0" borderId="0" xfId="0"/>
    <xf numFmtId="164" fontId="0" fillId="0" borderId="0" xfId="0" applyNumberFormat="1"/>
    <xf numFmtId="164" fontId="0" fillId="0" borderId="3" xfId="0" applyNumberFormat="1" applyFill="1" applyBorder="1"/>
    <xf numFmtId="164" fontId="0" fillId="0" borderId="3" xfId="0" applyNumberFormat="1" applyFill="1" applyBorder="1" applyProtection="1">
      <protection locked="0"/>
    </xf>
    <xf numFmtId="0" fontId="7" fillId="0" borderId="2" xfId="0" applyFont="1" applyBorder="1" applyAlignment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0" fillId="0" borderId="15" xfId="0" applyNumberFormat="1" applyFill="1" applyBorder="1" applyProtection="1">
      <protection locked="0"/>
    </xf>
    <xf numFmtId="164" fontId="0" fillId="0" borderId="15" xfId="0" applyNumberFormat="1" applyFill="1" applyBorder="1"/>
    <xf numFmtId="164" fontId="1" fillId="4" borderId="4" xfId="0" applyNumberFormat="1" applyFont="1" applyFill="1" applyBorder="1"/>
    <xf numFmtId="164" fontId="1" fillId="4" borderId="5" xfId="0" applyNumberFormat="1" applyFont="1" applyFill="1" applyBorder="1"/>
    <xf numFmtId="164" fontId="1" fillId="4" borderId="4" xfId="0" applyNumberFormat="1" applyFont="1" applyFill="1" applyBorder="1" applyProtection="1">
      <protection locked="0"/>
    </xf>
    <xf numFmtId="164" fontId="1" fillId="4" borderId="5" xfId="0" applyNumberFormat="1" applyFont="1" applyFill="1" applyBorder="1" applyProtection="1">
      <protection locked="0"/>
    </xf>
    <xf numFmtId="0" fontId="0" fillId="0" borderId="17" xfId="0" applyBorder="1"/>
    <xf numFmtId="0" fontId="0" fillId="0" borderId="18" xfId="0" applyBorder="1"/>
    <xf numFmtId="164" fontId="1" fillId="2" borderId="20" xfId="0" applyNumberFormat="1" applyFont="1" applyFill="1" applyBorder="1"/>
    <xf numFmtId="164" fontId="1" fillId="2" borderId="21" xfId="0" applyNumberFormat="1" applyFont="1" applyFill="1" applyBorder="1"/>
    <xf numFmtId="0" fontId="1" fillId="3" borderId="16" xfId="0" applyFont="1" applyFill="1" applyBorder="1" applyAlignment="1">
      <alignment horizontal="center"/>
    </xf>
    <xf numFmtId="0" fontId="1" fillId="3" borderId="22" xfId="0" applyFont="1" applyFill="1" applyBorder="1" applyAlignment="1">
      <alignment horizontal="center"/>
    </xf>
    <xf numFmtId="0" fontId="1" fillId="3" borderId="19" xfId="0" applyFont="1" applyFill="1" applyBorder="1" applyAlignment="1">
      <alignment horizontal="center"/>
    </xf>
    <xf numFmtId="0" fontId="1" fillId="3" borderId="23" xfId="0" applyFont="1" applyFill="1" applyBorder="1" applyAlignment="1">
      <alignment horizontal="center"/>
    </xf>
    <xf numFmtId="0" fontId="1" fillId="0" borderId="0" xfId="0" applyFont="1"/>
    <xf numFmtId="44" fontId="1" fillId="3" borderId="0" xfId="1" applyFont="1" applyFill="1" applyProtection="1">
      <protection locked="0"/>
    </xf>
    <xf numFmtId="0" fontId="4" fillId="0" borderId="0" xfId="0" applyFont="1" applyAlignment="1" applyProtection="1">
      <protection locked="0"/>
    </xf>
    <xf numFmtId="164" fontId="1" fillId="0" borderId="3" xfId="0" applyNumberFormat="1" applyFont="1" applyFill="1" applyBorder="1" applyProtection="1">
      <protection locked="0"/>
    </xf>
    <xf numFmtId="164" fontId="1" fillId="0" borderId="24" xfId="0" applyNumberFormat="1" applyFont="1" applyFill="1" applyBorder="1" applyProtection="1">
      <protection locked="0"/>
    </xf>
    <xf numFmtId="164" fontId="1" fillId="0" borderId="15" xfId="0" applyNumberFormat="1" applyFont="1" applyFill="1" applyBorder="1" applyProtection="1">
      <protection locked="0"/>
    </xf>
    <xf numFmtId="164" fontId="1" fillId="0" borderId="3" xfId="0" applyNumberFormat="1" applyFont="1" applyBorder="1" applyProtection="1">
      <protection locked="0"/>
    </xf>
    <xf numFmtId="164" fontId="1" fillId="0" borderId="3" xfId="0" applyNumberFormat="1" applyFont="1" applyBorder="1" applyAlignment="1" applyProtection="1">
      <alignment horizontal="center"/>
      <protection locked="0"/>
    </xf>
    <xf numFmtId="164" fontId="1" fillId="0" borderId="3" xfId="0" applyNumberFormat="1" applyFont="1" applyBorder="1" applyAlignment="1" applyProtection="1">
      <alignment horizontal="right"/>
      <protection locked="0"/>
    </xf>
    <xf numFmtId="164" fontId="1" fillId="0" borderId="15" xfId="0" applyNumberFormat="1" applyFont="1" applyBorder="1" applyProtection="1">
      <protection locked="0"/>
    </xf>
    <xf numFmtId="164" fontId="1" fillId="0" borderId="15" xfId="0" applyNumberFormat="1" applyFont="1" applyBorder="1" applyAlignment="1" applyProtection="1">
      <alignment horizontal="right"/>
      <protection locked="0"/>
    </xf>
    <xf numFmtId="49" fontId="6" fillId="2" borderId="8" xfId="0" applyNumberFormat="1" applyFont="1" applyFill="1" applyBorder="1" applyAlignment="1"/>
    <xf numFmtId="164" fontId="1" fillId="0" borderId="24" xfId="0" applyNumberFormat="1" applyFont="1" applyBorder="1" applyAlignment="1" applyProtection="1">
      <alignment horizontal="center"/>
      <protection locked="0"/>
    </xf>
    <xf numFmtId="0" fontId="0" fillId="0" borderId="25" xfId="0" applyBorder="1"/>
    <xf numFmtId="164" fontId="1" fillId="4" borderId="26" xfId="0" applyNumberFormat="1" applyFont="1" applyFill="1" applyBorder="1" applyProtection="1">
      <protection locked="0"/>
    </xf>
    <xf numFmtId="164" fontId="1" fillId="0" borderId="24" xfId="0" applyNumberFormat="1" applyFont="1" applyBorder="1" applyProtection="1">
      <protection locked="0"/>
    </xf>
    <xf numFmtId="164" fontId="1" fillId="4" borderId="26" xfId="0" applyNumberFormat="1" applyFont="1" applyFill="1" applyBorder="1"/>
    <xf numFmtId="164" fontId="0" fillId="0" borderId="24" xfId="0" applyNumberFormat="1" applyFill="1" applyBorder="1" applyProtection="1">
      <protection locked="0"/>
    </xf>
    <xf numFmtId="164" fontId="0" fillId="0" borderId="24" xfId="0" applyNumberFormat="1" applyFill="1" applyBorder="1"/>
    <xf numFmtId="164" fontId="1" fillId="2" borderId="27" xfId="0" applyNumberFormat="1" applyFont="1" applyFill="1" applyBorder="1"/>
    <xf numFmtId="0" fontId="1" fillId="3" borderId="16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vertical="center"/>
    </xf>
    <xf numFmtId="49" fontId="1" fillId="3" borderId="22" xfId="0" applyNumberFormat="1" applyFont="1" applyFill="1" applyBorder="1" applyAlignment="1">
      <alignment horizontal="center" vertical="center"/>
    </xf>
    <xf numFmtId="0" fontId="1" fillId="3" borderId="22" xfId="0" applyFont="1" applyFill="1" applyBorder="1" applyAlignment="1">
      <alignment vertical="center"/>
    </xf>
    <xf numFmtId="0" fontId="0" fillId="4" borderId="13" xfId="0" applyFont="1" applyFill="1" applyBorder="1" applyAlignment="1" applyProtection="1">
      <alignment horizontal="left"/>
      <protection locked="0"/>
    </xf>
    <xf numFmtId="0" fontId="0" fillId="4" borderId="2" xfId="0" applyFont="1" applyFill="1" applyBorder="1" applyAlignment="1" applyProtection="1">
      <alignment horizontal="left"/>
      <protection locked="0"/>
    </xf>
    <xf numFmtId="0" fontId="0" fillId="4" borderId="14" xfId="0" applyFont="1" applyFill="1" applyBorder="1" applyAlignment="1" applyProtection="1">
      <alignment horizontal="left"/>
      <protection locked="0"/>
    </xf>
    <xf numFmtId="0" fontId="0" fillId="4" borderId="11" xfId="0" applyFill="1" applyBorder="1" applyAlignment="1" applyProtection="1">
      <alignment horizontal="left"/>
      <protection locked="0"/>
    </xf>
    <xf numFmtId="0" fontId="0" fillId="4" borderId="0" xfId="0" applyFill="1" applyBorder="1" applyAlignment="1" applyProtection="1">
      <alignment horizontal="left"/>
      <protection locked="0"/>
    </xf>
    <xf numFmtId="0" fontId="0" fillId="4" borderId="12" xfId="0" applyFill="1" applyBorder="1" applyAlignment="1" applyProtection="1">
      <alignment horizontal="left"/>
      <protection locked="0"/>
    </xf>
    <xf numFmtId="0" fontId="10" fillId="4" borderId="11" xfId="0" applyFont="1" applyFill="1" applyBorder="1" applyAlignment="1" applyProtection="1">
      <alignment horizontal="left"/>
      <protection locked="0"/>
    </xf>
    <xf numFmtId="0" fontId="10" fillId="4" borderId="0" xfId="0" applyFont="1" applyFill="1" applyBorder="1" applyAlignment="1" applyProtection="1">
      <alignment horizontal="left"/>
      <protection locked="0"/>
    </xf>
    <xf numFmtId="0" fontId="10" fillId="4" borderId="12" xfId="0" applyFont="1" applyFill="1" applyBorder="1" applyAlignment="1" applyProtection="1">
      <alignment horizontal="left"/>
      <protection locked="0"/>
    </xf>
    <xf numFmtId="0" fontId="0" fillId="4" borderId="11" xfId="0" applyFont="1" applyFill="1" applyBorder="1" applyAlignment="1" applyProtection="1">
      <alignment horizontal="left"/>
      <protection locked="0"/>
    </xf>
    <xf numFmtId="0" fontId="0" fillId="4" borderId="0" xfId="0" applyFont="1" applyFill="1" applyBorder="1" applyAlignment="1" applyProtection="1">
      <alignment horizontal="left"/>
      <protection locked="0"/>
    </xf>
    <xf numFmtId="0" fontId="0" fillId="4" borderId="12" xfId="0" applyFont="1" applyFill="1" applyBorder="1" applyAlignment="1" applyProtection="1">
      <alignment horizontal="left"/>
      <protection locked="0"/>
    </xf>
    <xf numFmtId="0" fontId="8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1" fillId="3" borderId="9" xfId="0" applyFont="1" applyFill="1" applyBorder="1" applyAlignment="1">
      <alignment horizontal="left" vertical="center"/>
    </xf>
    <xf numFmtId="0" fontId="1" fillId="3" borderId="13" xfId="0" applyFont="1" applyFill="1" applyBorder="1" applyAlignment="1">
      <alignment horizontal="left" vertical="center"/>
    </xf>
    <xf numFmtId="0" fontId="1" fillId="3" borderId="16" xfId="0" applyFont="1" applyFill="1" applyBorder="1" applyAlignment="1">
      <alignment horizontal="center" vertical="center"/>
    </xf>
    <xf numFmtId="0" fontId="1" fillId="3" borderId="22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2" fillId="4" borderId="9" xfId="0" applyFont="1" applyFill="1" applyBorder="1" applyAlignment="1" applyProtection="1">
      <alignment horizontal="left"/>
      <protection locked="0"/>
    </xf>
    <xf numFmtId="0" fontId="2" fillId="4" borderId="1" xfId="0" applyFont="1" applyFill="1" applyBorder="1" applyAlignment="1" applyProtection="1">
      <alignment horizontal="left"/>
      <protection locked="0"/>
    </xf>
    <xf numFmtId="0" fontId="2" fillId="4" borderId="10" xfId="0" applyFont="1" applyFill="1" applyBorder="1" applyAlignment="1" applyProtection="1">
      <alignment horizontal="left"/>
      <protection locked="0"/>
    </xf>
    <xf numFmtId="0" fontId="0" fillId="0" borderId="0" xfId="0" applyBorder="1" applyAlignment="1">
      <alignment horizontal="center"/>
    </xf>
    <xf numFmtId="0" fontId="2" fillId="4" borderId="11" xfId="0" applyFont="1" applyFill="1" applyBorder="1" applyAlignment="1" applyProtection="1">
      <alignment horizontal="left"/>
      <protection locked="0"/>
    </xf>
    <xf numFmtId="0" fontId="2" fillId="4" borderId="0" xfId="0" applyFont="1" applyFill="1" applyBorder="1" applyAlignment="1" applyProtection="1">
      <alignment horizontal="left"/>
      <protection locked="0"/>
    </xf>
    <xf numFmtId="0" fontId="2" fillId="4" borderId="12" xfId="0" applyFont="1" applyFill="1" applyBorder="1" applyAlignment="1" applyProtection="1">
      <alignment horizontal="left"/>
      <protection locked="0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70"/>
  <sheetViews>
    <sheetView tabSelected="1" zoomScaleNormal="100" workbookViewId="0">
      <pane xSplit="2" ySplit="6" topLeftCell="C7" activePane="bottomRight" state="frozen"/>
      <selection pane="topRight" activeCell="B1" sqref="B1"/>
      <selection pane="bottomLeft" activeCell="A7" sqref="A7"/>
      <selection pane="bottomRight" activeCell="H84" sqref="H84"/>
    </sheetView>
  </sheetViews>
  <sheetFormatPr defaultRowHeight="15" outlineLevelCol="1" x14ac:dyDescent="0.25"/>
  <cols>
    <col min="1" max="1" width="3.7109375" customWidth="1"/>
    <col min="2" max="2" width="44.140625" bestFit="1" customWidth="1"/>
    <col min="3" max="3" width="13.28515625" bestFit="1" customWidth="1"/>
    <col min="4" max="4" width="12.5703125" bestFit="1" customWidth="1"/>
    <col min="5" max="5" width="8.140625" bestFit="1" customWidth="1"/>
    <col min="6" max="6" width="11" bestFit="1" customWidth="1"/>
    <col min="7" max="7" width="16.85546875" bestFit="1" customWidth="1"/>
    <col min="8" max="8" width="13.5703125" customWidth="1"/>
    <col min="9" max="9" width="13.140625" bestFit="1" customWidth="1"/>
    <col min="10" max="10" width="11.5703125" bestFit="1" customWidth="1"/>
    <col min="11" max="11" width="12.85546875" bestFit="1" customWidth="1"/>
    <col min="12" max="12" width="10.7109375" bestFit="1" customWidth="1"/>
    <col min="13" max="13" width="10.7109375" customWidth="1"/>
    <col min="14" max="15" width="10.140625" bestFit="1" customWidth="1"/>
    <col min="16" max="16" width="9.5703125" bestFit="1" customWidth="1"/>
    <col min="17" max="17" width="1.42578125" customWidth="1"/>
    <col min="18" max="18" width="15.85546875" hidden="1" customWidth="1" outlineLevel="1"/>
    <col min="19" max="19" width="9.140625" collapsed="1"/>
  </cols>
  <sheetData>
    <row r="1" spans="1:19" ht="16.5" x14ac:dyDescent="0.25">
      <c r="B1" s="57" t="s">
        <v>51</v>
      </c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</row>
    <row r="2" spans="1:19" ht="16.5" x14ac:dyDescent="0.25">
      <c r="B2" s="57" t="s">
        <v>52</v>
      </c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</row>
    <row r="3" spans="1:19" ht="4.5" customHeight="1" thickBot="1" x14ac:dyDescent="0.3"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</row>
    <row r="4" spans="1:19" ht="19.5" thickBot="1" x14ac:dyDescent="0.35">
      <c r="B4" s="32" t="s">
        <v>81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</row>
    <row r="5" spans="1:19" x14ac:dyDescent="0.25">
      <c r="B5" s="59" t="s">
        <v>50</v>
      </c>
      <c r="C5" s="61" t="s">
        <v>40</v>
      </c>
      <c r="D5" s="65" t="s">
        <v>66</v>
      </c>
      <c r="E5" s="61" t="s">
        <v>41</v>
      </c>
      <c r="F5" s="61" t="s">
        <v>67</v>
      </c>
      <c r="G5" s="41" t="s">
        <v>68</v>
      </c>
      <c r="H5" s="42" t="s">
        <v>70</v>
      </c>
      <c r="I5" s="17" t="s">
        <v>53</v>
      </c>
      <c r="J5" s="5" t="s">
        <v>76</v>
      </c>
      <c r="K5" s="17" t="s">
        <v>42</v>
      </c>
      <c r="L5" s="63" t="s">
        <v>44</v>
      </c>
      <c r="M5" s="61" t="s">
        <v>45</v>
      </c>
      <c r="N5" s="17" t="s">
        <v>46</v>
      </c>
      <c r="O5" s="5" t="s">
        <v>48</v>
      </c>
      <c r="P5" s="19" t="s">
        <v>42</v>
      </c>
    </row>
    <row r="6" spans="1:19" ht="15.75" thickBot="1" x14ac:dyDescent="0.3">
      <c r="B6" s="60"/>
      <c r="C6" s="62"/>
      <c r="D6" s="66"/>
      <c r="E6" s="62"/>
      <c r="F6" s="62"/>
      <c r="G6" s="43" t="s">
        <v>69</v>
      </c>
      <c r="H6" s="44" t="s">
        <v>55</v>
      </c>
      <c r="I6" s="18" t="s">
        <v>54</v>
      </c>
      <c r="J6" s="6" t="s">
        <v>77</v>
      </c>
      <c r="K6" s="18" t="s">
        <v>43</v>
      </c>
      <c r="L6" s="64"/>
      <c r="M6" s="62"/>
      <c r="N6" s="18" t="s">
        <v>47</v>
      </c>
      <c r="O6" s="6" t="s">
        <v>47</v>
      </c>
      <c r="P6" s="20" t="s">
        <v>49</v>
      </c>
    </row>
    <row r="7" spans="1:19" x14ac:dyDescent="0.25">
      <c r="A7">
        <v>1</v>
      </c>
      <c r="B7" s="13" t="s">
        <v>0</v>
      </c>
      <c r="C7" s="11">
        <f>5205.97+318+312.36</f>
        <v>5836.33</v>
      </c>
      <c r="D7" s="24"/>
      <c r="E7" s="27"/>
      <c r="F7" s="27"/>
      <c r="G7" s="27"/>
      <c r="H7" s="27">
        <f>2602.99+156.18</f>
        <v>2759.1699999999996</v>
      </c>
      <c r="I7" s="28"/>
      <c r="J7" s="28"/>
      <c r="K7" s="9">
        <f t="shared" ref="K7:K14" si="0">SUM(C7:I7)</f>
        <v>8595.5</v>
      </c>
      <c r="L7" s="3">
        <v>551.83000000000004</v>
      </c>
      <c r="M7" s="3">
        <v>668.36</v>
      </c>
      <c r="N7" s="2">
        <f t="shared" ref="N7:N13" si="1">K7-L7-M7-R7</f>
        <v>42.1200000000008</v>
      </c>
      <c r="O7" s="2">
        <f t="shared" ref="O7:O60" si="2">SUM(L7:N7)</f>
        <v>1262.3100000000009</v>
      </c>
      <c r="P7" s="15">
        <f t="shared" ref="P7:P60" si="3">SUM(K7-O7)</f>
        <v>7333.1899999999987</v>
      </c>
      <c r="Q7" s="21"/>
      <c r="R7" s="22">
        <v>7333.19</v>
      </c>
    </row>
    <row r="8" spans="1:19" x14ac:dyDescent="0.25">
      <c r="A8">
        <v>2</v>
      </c>
      <c r="B8" s="13" t="s">
        <v>1</v>
      </c>
      <c r="C8" s="11">
        <f>2222.68+321+155.59</f>
        <v>2699.27</v>
      </c>
      <c r="D8" s="24"/>
      <c r="E8" s="27"/>
      <c r="F8" s="27">
        <f>246.96+17.29+88.08</f>
        <v>352.33</v>
      </c>
      <c r="G8" s="27"/>
      <c r="H8" s="27">
        <f>1234.82+86.44</f>
        <v>1321.26</v>
      </c>
      <c r="I8" s="28"/>
      <c r="J8" s="28"/>
      <c r="K8" s="9">
        <f t="shared" si="0"/>
        <v>4372.8599999999997</v>
      </c>
      <c r="L8" s="3"/>
      <c r="M8" s="3">
        <f>254.62+28.96</f>
        <v>283.58</v>
      </c>
      <c r="N8" s="2">
        <f t="shared" si="1"/>
        <v>1508.7599999999998</v>
      </c>
      <c r="O8" s="2">
        <f t="shared" si="2"/>
        <v>1792.3399999999997</v>
      </c>
      <c r="P8" s="15">
        <f t="shared" si="3"/>
        <v>2580.52</v>
      </c>
      <c r="Q8" s="21"/>
      <c r="R8" s="22">
        <v>2580.52</v>
      </c>
    </row>
    <row r="9" spans="1:19" x14ac:dyDescent="0.25">
      <c r="A9">
        <v>3</v>
      </c>
      <c r="B9" s="13" t="s">
        <v>59</v>
      </c>
      <c r="C9" s="11">
        <f>1646.96+283.25+74.41</f>
        <v>2004.6200000000001</v>
      </c>
      <c r="D9" s="24">
        <v>863.34</v>
      </c>
      <c r="E9" s="27"/>
      <c r="F9" s="27">
        <f>166.66+329.39+14.88+170.31+34.33</f>
        <v>715.57</v>
      </c>
      <c r="G9" s="27"/>
      <c r="H9" s="27">
        <f>988.18+44.65+500</f>
        <v>1532.83</v>
      </c>
      <c r="I9" s="28"/>
      <c r="J9" s="28"/>
      <c r="K9" s="9">
        <f t="shared" si="0"/>
        <v>5116.3600000000006</v>
      </c>
      <c r="L9" s="3">
        <v>52.23</v>
      </c>
      <c r="M9" s="3">
        <f>301.88+51.09</f>
        <v>352.97</v>
      </c>
      <c r="N9" s="2">
        <f t="shared" si="1"/>
        <v>728.00000000000091</v>
      </c>
      <c r="O9" s="2">
        <f t="shared" si="2"/>
        <v>1133.200000000001</v>
      </c>
      <c r="P9" s="15">
        <f t="shared" si="3"/>
        <v>3983.16</v>
      </c>
      <c r="Q9" s="21"/>
      <c r="R9" s="22">
        <v>3983.16</v>
      </c>
    </row>
    <row r="10" spans="1:19" x14ac:dyDescent="0.25">
      <c r="A10">
        <v>4</v>
      </c>
      <c r="B10" s="13" t="s">
        <v>80</v>
      </c>
      <c r="C10" s="11">
        <f>4143.38+120</f>
        <v>4263.38</v>
      </c>
      <c r="D10" s="24">
        <v>828.68</v>
      </c>
      <c r="E10" s="27"/>
      <c r="F10" s="27"/>
      <c r="G10" s="27"/>
      <c r="H10" s="27">
        <f>1381.13+276.23</f>
        <v>1657.3600000000001</v>
      </c>
      <c r="I10" s="28"/>
      <c r="J10" s="28"/>
      <c r="K10" s="9">
        <f t="shared" ref="K10" si="4">SUM(C10:I10)</f>
        <v>6749.42</v>
      </c>
      <c r="L10" s="3">
        <v>382.65</v>
      </c>
      <c r="M10" s="3">
        <v>564.16</v>
      </c>
      <c r="N10" s="2">
        <f t="shared" ref="N10" si="5">K10-L10-M10-R10</f>
        <v>6.7300000000004729</v>
      </c>
      <c r="O10" s="2">
        <f t="shared" ref="O10" si="6">SUM(L10:N10)</f>
        <v>953.54000000000042</v>
      </c>
      <c r="P10" s="15">
        <f t="shared" ref="P10" si="7">SUM(K10-O10)</f>
        <v>5795.8799999999992</v>
      </c>
      <c r="Q10" s="21"/>
      <c r="R10" s="22">
        <v>5795.88</v>
      </c>
    </row>
    <row r="11" spans="1:19" x14ac:dyDescent="0.25">
      <c r="A11">
        <v>5</v>
      </c>
      <c r="B11" s="13" t="s">
        <v>2</v>
      </c>
      <c r="C11" s="11">
        <f>2550.06+336+306.01</f>
        <v>3192.0699999999997</v>
      </c>
      <c r="D11" s="24"/>
      <c r="E11" s="27"/>
      <c r="F11" s="27"/>
      <c r="G11" s="27"/>
      <c r="H11" s="27">
        <f>1275.03+153</f>
        <v>1428.03</v>
      </c>
      <c r="I11" s="28"/>
      <c r="J11" s="28"/>
      <c r="K11" s="9">
        <f t="shared" si="0"/>
        <v>4620.0999999999995</v>
      </c>
      <c r="L11" s="3">
        <v>78.94</v>
      </c>
      <c r="M11" s="3">
        <v>300.44</v>
      </c>
      <c r="N11" s="2">
        <f t="shared" si="1"/>
        <v>998.00000000000045</v>
      </c>
      <c r="O11" s="2">
        <f t="shared" si="2"/>
        <v>1377.3800000000006</v>
      </c>
      <c r="P11" s="15">
        <f>SUM(K11-O11)+H11</f>
        <v>4670.7499999999991</v>
      </c>
      <c r="Q11" s="21"/>
      <c r="R11" s="22">
        <v>3242.72</v>
      </c>
      <c r="S11" s="1"/>
    </row>
    <row r="12" spans="1:19" x14ac:dyDescent="0.25">
      <c r="A12">
        <v>6</v>
      </c>
      <c r="B12" s="13" t="s">
        <v>3</v>
      </c>
      <c r="C12" s="11">
        <f>3067.56+372+736.21</f>
        <v>4175.7700000000004</v>
      </c>
      <c r="D12" s="24"/>
      <c r="E12" s="27"/>
      <c r="F12" s="27"/>
      <c r="G12" s="27"/>
      <c r="H12" s="27">
        <f>1533.78+368.11</f>
        <v>1901.8899999999999</v>
      </c>
      <c r="I12" s="28"/>
      <c r="J12" s="28"/>
      <c r="K12" s="9">
        <f t="shared" si="0"/>
        <v>6077.66</v>
      </c>
      <c r="L12" s="3">
        <v>177.74</v>
      </c>
      <c r="M12" s="3">
        <v>435.88</v>
      </c>
      <c r="N12" s="2">
        <f t="shared" si="1"/>
        <v>1191.7399999999998</v>
      </c>
      <c r="O12" s="2">
        <f t="shared" si="2"/>
        <v>1805.3599999999997</v>
      </c>
      <c r="P12" s="15">
        <f t="shared" si="3"/>
        <v>4272.3</v>
      </c>
      <c r="Q12" s="21"/>
      <c r="R12" s="22">
        <v>4272.3</v>
      </c>
    </row>
    <row r="13" spans="1:19" x14ac:dyDescent="0.25">
      <c r="A13">
        <v>7</v>
      </c>
      <c r="B13" s="13" t="s">
        <v>78</v>
      </c>
      <c r="C13" s="11">
        <f>4143.38+336</f>
        <v>4479.38</v>
      </c>
      <c r="D13" s="24">
        <v>828.68</v>
      </c>
      <c r="E13" s="27"/>
      <c r="F13" s="27"/>
      <c r="G13" s="27"/>
      <c r="H13" s="27">
        <f>1553.77+310.75</f>
        <v>1864.52</v>
      </c>
      <c r="I13" s="28"/>
      <c r="J13" s="28"/>
      <c r="K13" s="9">
        <f t="shared" si="0"/>
        <v>7172.58</v>
      </c>
      <c r="L13" s="3">
        <v>426.9</v>
      </c>
      <c r="M13" s="3">
        <v>594.4</v>
      </c>
      <c r="N13" s="2">
        <f t="shared" si="1"/>
        <v>7.1300000000010186</v>
      </c>
      <c r="O13" s="2">
        <f t="shared" si="2"/>
        <v>1028.430000000001</v>
      </c>
      <c r="P13" s="15">
        <f t="shared" si="3"/>
        <v>6144.1499999999987</v>
      </c>
      <c r="Q13" s="21"/>
      <c r="R13" s="22">
        <v>6144.15</v>
      </c>
    </row>
    <row r="14" spans="1:19" x14ac:dyDescent="0.25">
      <c r="A14">
        <v>8</v>
      </c>
      <c r="B14" s="13" t="s">
        <v>4</v>
      </c>
      <c r="C14" s="11">
        <f>12130.55+603+6186.58</f>
        <v>18920.129999999997</v>
      </c>
      <c r="D14" s="24">
        <f>1213.06+30+4852.22</f>
        <v>6095.2800000000007</v>
      </c>
      <c r="E14" s="27"/>
      <c r="F14" s="27"/>
      <c r="G14" s="27"/>
      <c r="H14" s="27"/>
      <c r="I14" s="28"/>
      <c r="J14" s="28"/>
      <c r="K14" s="9">
        <f t="shared" si="0"/>
        <v>25015.409999999996</v>
      </c>
      <c r="L14" s="3">
        <v>5803.09</v>
      </c>
      <c r="M14" s="3">
        <v>751.97</v>
      </c>
      <c r="N14" s="2">
        <f>K14-L14-M14-R14</f>
        <v>106.00999999999476</v>
      </c>
      <c r="O14" s="2">
        <f t="shared" si="2"/>
        <v>6661.0699999999952</v>
      </c>
      <c r="P14" s="15">
        <f t="shared" si="3"/>
        <v>18354.34</v>
      </c>
      <c r="Q14" s="21"/>
      <c r="R14" s="22">
        <v>18354.34</v>
      </c>
    </row>
    <row r="15" spans="1:19" x14ac:dyDescent="0.25">
      <c r="A15">
        <v>9</v>
      </c>
      <c r="B15" s="13" t="s">
        <v>5</v>
      </c>
      <c r="C15" s="11">
        <f>12130.55+341.6+3736.21</f>
        <v>16208.36</v>
      </c>
      <c r="D15" s="24">
        <v>4852.22</v>
      </c>
      <c r="E15" s="27"/>
      <c r="F15" s="27">
        <v>227.72</v>
      </c>
      <c r="G15" s="27">
        <f>399.35+123+227.36+113.84+159.74</f>
        <v>1023.2900000000001</v>
      </c>
      <c r="H15" s="27">
        <f>6065.28+1868.11+2426.11</f>
        <v>10359.5</v>
      </c>
      <c r="I15" s="28"/>
      <c r="J15" s="28"/>
      <c r="K15" s="9">
        <f t="shared" ref="K15:K31" si="8">SUM(C15:I15)</f>
        <v>32671.090000000004</v>
      </c>
      <c r="L15" s="3">
        <v>4778.13</v>
      </c>
      <c r="M15" s="3">
        <v>751.97</v>
      </c>
      <c r="N15" s="2">
        <f t="shared" ref="N15:N40" si="9">K15-L15-M15-R15</f>
        <v>1017.7100000000028</v>
      </c>
      <c r="O15" s="2">
        <f t="shared" si="2"/>
        <v>6547.8100000000031</v>
      </c>
      <c r="P15" s="15">
        <f t="shared" si="3"/>
        <v>26123.279999999999</v>
      </c>
      <c r="Q15" s="21"/>
      <c r="R15" s="22">
        <v>26123.279999999999</v>
      </c>
    </row>
    <row r="16" spans="1:19" x14ac:dyDescent="0.25">
      <c r="A16">
        <v>10</v>
      </c>
      <c r="B16" s="13" t="s">
        <v>6</v>
      </c>
      <c r="C16" s="11">
        <f>1616.1+324+129.29</f>
        <v>2069.39</v>
      </c>
      <c r="D16" s="24"/>
      <c r="E16" s="27"/>
      <c r="F16" s="21">
        <f>808.05+64.64+290.9</f>
        <v>1163.5899999999999</v>
      </c>
      <c r="H16" s="27">
        <f>1212.08+96.97</f>
        <v>1309.05</v>
      </c>
      <c r="I16" s="28"/>
      <c r="J16" s="28"/>
      <c r="K16" s="9">
        <f t="shared" si="8"/>
        <v>4542.03</v>
      </c>
      <c r="L16" s="3"/>
      <c r="M16" s="3">
        <f>217.13+88.22</f>
        <v>305.35000000000002</v>
      </c>
      <c r="N16" s="2">
        <f t="shared" si="9"/>
        <v>2403.7199999999993</v>
      </c>
      <c r="O16" s="2">
        <f t="shared" si="2"/>
        <v>2709.0699999999993</v>
      </c>
      <c r="P16" s="15">
        <f t="shared" si="3"/>
        <v>1832.9600000000005</v>
      </c>
      <c r="Q16" s="21"/>
      <c r="R16" s="22">
        <v>1832.96</v>
      </c>
    </row>
    <row r="17" spans="1:18" x14ac:dyDescent="0.25">
      <c r="A17">
        <v>11</v>
      </c>
      <c r="B17" s="13" t="s">
        <v>7</v>
      </c>
      <c r="C17" s="11">
        <f>1931.42+378+502.17</f>
        <v>2811.59</v>
      </c>
      <c r="D17" s="24"/>
      <c r="E17" s="27"/>
      <c r="F17" s="27"/>
      <c r="G17" s="27"/>
      <c r="H17" s="27">
        <f>965.71+251.08</f>
        <v>1216.79</v>
      </c>
      <c r="I17" s="28"/>
      <c r="J17" s="28"/>
      <c r="K17" s="9">
        <f t="shared" si="8"/>
        <v>4028.38</v>
      </c>
      <c r="L17" s="3">
        <v>48.96</v>
      </c>
      <c r="M17" s="3">
        <v>254.78</v>
      </c>
      <c r="N17" s="2">
        <f t="shared" si="9"/>
        <v>16.839999999999691</v>
      </c>
      <c r="O17" s="2">
        <f t="shared" si="2"/>
        <v>320.5799999999997</v>
      </c>
      <c r="P17" s="15">
        <f t="shared" si="3"/>
        <v>3707.8</v>
      </c>
      <c r="Q17" s="21"/>
      <c r="R17" s="22">
        <v>3707.8</v>
      </c>
    </row>
    <row r="18" spans="1:18" x14ac:dyDescent="0.25">
      <c r="A18">
        <v>12</v>
      </c>
      <c r="B18" s="13" t="s">
        <v>62</v>
      </c>
      <c r="C18" s="11">
        <f>2819.57+306+56.39</f>
        <v>3181.96</v>
      </c>
      <c r="D18" s="24"/>
      <c r="E18" s="27"/>
      <c r="F18" s="27"/>
      <c r="G18" s="27"/>
      <c r="H18" s="27">
        <f>1409.79+28.2</f>
        <v>1437.99</v>
      </c>
      <c r="I18" s="28"/>
      <c r="J18" s="28"/>
      <c r="K18" s="9">
        <f t="shared" si="8"/>
        <v>4619.95</v>
      </c>
      <c r="L18" s="3">
        <v>59.19</v>
      </c>
      <c r="M18" s="3">
        <v>299.22000000000003</v>
      </c>
      <c r="N18" s="2">
        <f t="shared" si="9"/>
        <v>252.05999999999995</v>
      </c>
      <c r="O18" s="2">
        <f t="shared" si="2"/>
        <v>610.47</v>
      </c>
      <c r="P18" s="15">
        <f t="shared" si="3"/>
        <v>4009.4799999999996</v>
      </c>
      <c r="Q18" s="21"/>
      <c r="R18" s="22">
        <v>4009.48</v>
      </c>
    </row>
    <row r="19" spans="1:18" x14ac:dyDescent="0.25">
      <c r="A19">
        <v>13</v>
      </c>
      <c r="B19" s="13" t="s">
        <v>8</v>
      </c>
      <c r="C19" s="11">
        <f>5176.06+478.8+1014.51</f>
        <v>6669.3700000000008</v>
      </c>
      <c r="D19" s="24">
        <v>2070.42</v>
      </c>
      <c r="E19" s="27"/>
      <c r="F19" s="27"/>
      <c r="G19" s="27"/>
      <c r="H19" s="27">
        <f>2588.03+507.25+1035.21</f>
        <v>4130.49</v>
      </c>
      <c r="I19" s="28"/>
      <c r="J19" s="28"/>
      <c r="K19" s="9">
        <f t="shared" si="8"/>
        <v>12870.28</v>
      </c>
      <c r="L19" s="3">
        <v>1170.8800000000001</v>
      </c>
      <c r="M19" s="3">
        <v>751.97</v>
      </c>
      <c r="N19" s="2">
        <f t="shared" si="9"/>
        <v>514.96000000000276</v>
      </c>
      <c r="O19" s="2">
        <f t="shared" si="2"/>
        <v>2437.8100000000031</v>
      </c>
      <c r="P19" s="15">
        <f t="shared" si="3"/>
        <v>10432.469999999998</v>
      </c>
      <c r="Q19" s="21"/>
      <c r="R19" s="22">
        <v>10432.469999999999</v>
      </c>
    </row>
    <row r="20" spans="1:18" x14ac:dyDescent="0.25">
      <c r="A20">
        <v>14</v>
      </c>
      <c r="B20" s="13" t="s">
        <v>9</v>
      </c>
      <c r="C20" s="11">
        <f>2424.15+327+218.17</f>
        <v>2969.32</v>
      </c>
      <c r="D20" s="24"/>
      <c r="E20" s="27"/>
      <c r="F20" s="27"/>
      <c r="G20" s="27"/>
      <c r="H20" s="27"/>
      <c r="I20" s="28"/>
      <c r="J20" s="28"/>
      <c r="K20" s="9">
        <f t="shared" si="8"/>
        <v>2969.32</v>
      </c>
      <c r="L20" s="3">
        <v>59.37</v>
      </c>
      <c r="M20" s="3">
        <v>273.70999999999998</v>
      </c>
      <c r="N20" s="2">
        <f t="shared" si="9"/>
        <v>7.180000000000291</v>
      </c>
      <c r="O20" s="2">
        <f t="shared" si="2"/>
        <v>340.26000000000028</v>
      </c>
      <c r="P20" s="15">
        <f t="shared" si="3"/>
        <v>2629.06</v>
      </c>
      <c r="Q20" s="21"/>
      <c r="R20" s="22">
        <v>2629.06</v>
      </c>
    </row>
    <row r="21" spans="1:18" x14ac:dyDescent="0.25">
      <c r="A21">
        <v>15</v>
      </c>
      <c r="B21" s="13" t="s">
        <v>10</v>
      </c>
      <c r="C21" s="11">
        <f>13362.02+582.8+7850.19</f>
        <v>21795.01</v>
      </c>
      <c r="D21" s="24">
        <v>18038.73</v>
      </c>
      <c r="E21" s="27"/>
      <c r="F21" s="27">
        <v>388.53</v>
      </c>
      <c r="G21" s="27">
        <v>194.23</v>
      </c>
      <c r="H21" s="27"/>
      <c r="I21" s="28"/>
      <c r="J21" s="28"/>
      <c r="K21" s="9">
        <f t="shared" si="8"/>
        <v>40416.5</v>
      </c>
      <c r="L21" s="3">
        <v>9984.9699999999993</v>
      </c>
      <c r="M21" s="3">
        <v>751.97</v>
      </c>
      <c r="N21" s="2">
        <f t="shared" si="9"/>
        <v>286.35999999999694</v>
      </c>
      <c r="O21" s="2">
        <f t="shared" si="2"/>
        <v>11023.299999999996</v>
      </c>
      <c r="P21" s="15">
        <f t="shared" si="3"/>
        <v>29393.200000000004</v>
      </c>
      <c r="Q21" s="21"/>
      <c r="R21" s="22">
        <v>29393.200000000001</v>
      </c>
    </row>
    <row r="22" spans="1:18" x14ac:dyDescent="0.25">
      <c r="A22">
        <v>16</v>
      </c>
      <c r="B22" s="13" t="s">
        <v>11</v>
      </c>
      <c r="C22" s="11">
        <f>12130.55+457.2+3930.3</f>
        <v>16518.05</v>
      </c>
      <c r="D22" s="24">
        <v>2426.11</v>
      </c>
      <c r="E22" s="27"/>
      <c r="F22" s="27"/>
      <c r="G22" s="27"/>
      <c r="H22" s="27">
        <f>6065.28+1965.15+1213.06</f>
        <v>9243.49</v>
      </c>
      <c r="I22" s="28"/>
      <c r="J22" s="28"/>
      <c r="K22" s="9">
        <f t="shared" si="8"/>
        <v>28187.65</v>
      </c>
      <c r="L22" s="3">
        <v>4081.35</v>
      </c>
      <c r="M22" s="3">
        <v>751.97</v>
      </c>
      <c r="N22" s="2">
        <f t="shared" si="9"/>
        <v>2266.5500000000029</v>
      </c>
      <c r="O22" s="2">
        <f t="shared" si="2"/>
        <v>7099.8700000000026</v>
      </c>
      <c r="P22" s="15">
        <f t="shared" si="3"/>
        <v>21087.78</v>
      </c>
      <c r="Q22" s="21"/>
      <c r="R22" s="22">
        <v>21087.78</v>
      </c>
    </row>
    <row r="23" spans="1:18" x14ac:dyDescent="0.25">
      <c r="A23">
        <v>17</v>
      </c>
      <c r="B23" s="13" t="s">
        <v>12</v>
      </c>
      <c r="C23" s="11">
        <f>5366.65+369+1234.33</f>
        <v>6969.98</v>
      </c>
      <c r="D23" s="24"/>
      <c r="E23" s="27"/>
      <c r="F23" s="27"/>
      <c r="G23" s="27"/>
      <c r="H23" s="27"/>
      <c r="I23" s="28"/>
      <c r="J23" s="28"/>
      <c r="K23" s="9">
        <f t="shared" si="8"/>
        <v>6969.98</v>
      </c>
      <c r="L23" s="3">
        <v>736.32</v>
      </c>
      <c r="M23" s="3">
        <v>751.97</v>
      </c>
      <c r="N23" s="2">
        <f t="shared" si="9"/>
        <v>1322.2199999999993</v>
      </c>
      <c r="O23" s="2">
        <f t="shared" si="2"/>
        <v>2810.5099999999993</v>
      </c>
      <c r="P23" s="15">
        <f t="shared" si="3"/>
        <v>4159.47</v>
      </c>
      <c r="Q23" s="21"/>
      <c r="R23" s="22">
        <v>4159.47</v>
      </c>
    </row>
    <row r="24" spans="1:18" x14ac:dyDescent="0.25">
      <c r="A24">
        <v>18</v>
      </c>
      <c r="B24" s="13" t="s">
        <v>75</v>
      </c>
      <c r="C24" s="11">
        <f>1905.42+300+952.71</f>
        <v>3158.13</v>
      </c>
      <c r="D24" s="24"/>
      <c r="E24" s="27"/>
      <c r="F24" s="27"/>
      <c r="G24" s="27"/>
      <c r="H24" s="27"/>
      <c r="I24" s="28"/>
      <c r="J24" s="28"/>
      <c r="K24" s="9">
        <f t="shared" si="8"/>
        <v>3158.13</v>
      </c>
      <c r="L24" s="3"/>
      <c r="M24" s="3">
        <v>182.04</v>
      </c>
      <c r="N24" s="2">
        <f t="shared" ref="N24" si="10">K24-L24-M24-R24</f>
        <v>7.180000000000291</v>
      </c>
      <c r="O24" s="2">
        <f t="shared" ref="O24" si="11">SUM(L24:N24)</f>
        <v>189.22000000000028</v>
      </c>
      <c r="P24" s="15">
        <f t="shared" ref="P24" si="12">SUM(K24-O24)</f>
        <v>2968.91</v>
      </c>
      <c r="Q24" s="21"/>
      <c r="R24" s="22">
        <v>2968.91</v>
      </c>
    </row>
    <row r="25" spans="1:18" x14ac:dyDescent="0.25">
      <c r="A25">
        <v>19</v>
      </c>
      <c r="B25" s="13" t="s">
        <v>56</v>
      </c>
      <c r="C25" s="11">
        <f>2927.43+309+87.82</f>
        <v>3324.25</v>
      </c>
      <c r="D25" s="24">
        <v>30</v>
      </c>
      <c r="E25" s="27"/>
      <c r="F25" s="27"/>
      <c r="G25" s="27"/>
      <c r="H25" s="27">
        <f>1463.72+43.91</f>
        <v>1507.63</v>
      </c>
      <c r="I25" s="28"/>
      <c r="J25" s="28"/>
      <c r="K25" s="9">
        <f t="shared" si="8"/>
        <v>4861.88</v>
      </c>
      <c r="L25" s="3">
        <v>100.21</v>
      </c>
      <c r="M25" s="3">
        <v>320.87</v>
      </c>
      <c r="N25" s="2">
        <f t="shared" si="9"/>
        <v>134.84000000000015</v>
      </c>
      <c r="O25" s="2">
        <f t="shared" si="2"/>
        <v>555.92000000000007</v>
      </c>
      <c r="P25" s="15">
        <f t="shared" si="3"/>
        <v>4305.96</v>
      </c>
      <c r="Q25" s="21"/>
      <c r="R25" s="22">
        <v>4305.96</v>
      </c>
    </row>
    <row r="26" spans="1:18" x14ac:dyDescent="0.25">
      <c r="A26">
        <v>20</v>
      </c>
      <c r="B26" s="13" t="s">
        <v>13</v>
      </c>
      <c r="C26" s="11">
        <f>5660.92+350.52+1834.14</f>
        <v>7845.5800000000008</v>
      </c>
      <c r="D26" s="24">
        <v>1132.18</v>
      </c>
      <c r="E26" s="27"/>
      <c r="F26" s="27">
        <f>79.87+399.35+129.39+202.87+142.23</f>
        <v>953.71</v>
      </c>
      <c r="G26" s="27"/>
      <c r="H26" s="27">
        <f>4043.52+1310.1+808.7</f>
        <v>6162.32</v>
      </c>
      <c r="I26" s="28"/>
      <c r="J26" s="28"/>
      <c r="K26" s="9">
        <f t="shared" si="8"/>
        <v>16093.79</v>
      </c>
      <c r="L26" s="3">
        <v>1394.48</v>
      </c>
      <c r="M26" s="3">
        <v>751.97</v>
      </c>
      <c r="N26" s="2">
        <f t="shared" si="9"/>
        <v>5532.4500000000025</v>
      </c>
      <c r="O26" s="2">
        <f t="shared" si="2"/>
        <v>7678.9000000000024</v>
      </c>
      <c r="P26" s="15">
        <f t="shared" si="3"/>
        <v>8414.89</v>
      </c>
      <c r="Q26" s="21"/>
      <c r="R26" s="22">
        <v>8414.89</v>
      </c>
    </row>
    <row r="27" spans="1:18" x14ac:dyDescent="0.25">
      <c r="A27">
        <v>21</v>
      </c>
      <c r="B27" s="13" t="s">
        <v>14</v>
      </c>
      <c r="C27" s="11">
        <f>5366.65+390+1610</f>
        <v>7366.65</v>
      </c>
      <c r="D27" s="24"/>
      <c r="E27" s="27"/>
      <c r="F27" s="27"/>
      <c r="G27" s="27"/>
      <c r="H27" s="27"/>
      <c r="I27" s="28"/>
      <c r="J27" s="28"/>
      <c r="K27" s="9">
        <f t="shared" si="8"/>
        <v>7366.65</v>
      </c>
      <c r="L27" s="3">
        <v>845.4</v>
      </c>
      <c r="M27" s="3">
        <v>751.97</v>
      </c>
      <c r="N27" s="2">
        <f t="shared" si="9"/>
        <v>7.1799999999993815</v>
      </c>
      <c r="O27" s="2">
        <f t="shared" si="2"/>
        <v>1604.5499999999993</v>
      </c>
      <c r="P27" s="15">
        <f>SUM(K27-O27)+H27</f>
        <v>5762.1</v>
      </c>
      <c r="Q27" s="21"/>
      <c r="R27" s="22">
        <v>5762.1</v>
      </c>
    </row>
    <row r="28" spans="1:18" x14ac:dyDescent="0.25">
      <c r="A28">
        <v>22</v>
      </c>
      <c r="B28" s="13" t="s">
        <v>15</v>
      </c>
      <c r="C28" s="11">
        <f>2385.34+321+166.97</f>
        <v>2873.31</v>
      </c>
      <c r="D28" s="24"/>
      <c r="E28" s="27"/>
      <c r="F28" s="27">
        <f>4770.69+333.95+1701.54</f>
        <v>6806.1799999999994</v>
      </c>
      <c r="G28" s="27"/>
      <c r="H28" s="27">
        <f>3578.02+250.46</f>
        <v>3828.48</v>
      </c>
      <c r="I28" s="28"/>
      <c r="J28" s="28"/>
      <c r="K28" s="9">
        <f t="shared" si="8"/>
        <v>13507.97</v>
      </c>
      <c r="L28" s="3">
        <f>76.2+795.55</f>
        <v>871.75</v>
      </c>
      <c r="M28" s="3">
        <v>751.97</v>
      </c>
      <c r="N28" s="2">
        <f t="shared" si="9"/>
        <v>5265.84</v>
      </c>
      <c r="O28" s="2">
        <f t="shared" si="2"/>
        <v>6889.56</v>
      </c>
      <c r="P28" s="15">
        <f t="shared" si="3"/>
        <v>6618.4099999999989</v>
      </c>
      <c r="Q28" s="21"/>
      <c r="R28" s="22">
        <v>6618.41</v>
      </c>
    </row>
    <row r="29" spans="1:18" x14ac:dyDescent="0.25">
      <c r="A29">
        <v>23</v>
      </c>
      <c r="B29" s="13" t="s">
        <v>16</v>
      </c>
      <c r="C29" s="11">
        <f>2337.52+327+210.38</f>
        <v>2874.9</v>
      </c>
      <c r="D29" s="24"/>
      <c r="E29" s="27"/>
      <c r="F29" s="27"/>
      <c r="G29" s="27"/>
      <c r="H29" s="27">
        <f>1168.76+105.19</f>
        <v>1273.95</v>
      </c>
      <c r="I29" s="28"/>
      <c r="J29" s="28"/>
      <c r="K29" s="9">
        <f t="shared" si="8"/>
        <v>4148.8500000000004</v>
      </c>
      <c r="L29" s="3">
        <v>53.14</v>
      </c>
      <c r="M29" s="3">
        <v>262.38</v>
      </c>
      <c r="N29" s="2">
        <f t="shared" si="9"/>
        <v>784.41000000000031</v>
      </c>
      <c r="O29" s="2">
        <f t="shared" si="2"/>
        <v>1099.9300000000003</v>
      </c>
      <c r="P29" s="15">
        <f t="shared" si="3"/>
        <v>3048.92</v>
      </c>
      <c r="Q29" s="21"/>
      <c r="R29" s="22">
        <v>3048.92</v>
      </c>
    </row>
    <row r="30" spans="1:18" x14ac:dyDescent="0.25">
      <c r="A30">
        <v>24</v>
      </c>
      <c r="B30" s="13" t="s">
        <v>17</v>
      </c>
      <c r="C30" s="11">
        <f>4444.59+363+1143.36</f>
        <v>5950.95</v>
      </c>
      <c r="D30" s="24">
        <v>1000</v>
      </c>
      <c r="E30" s="27"/>
      <c r="F30" s="27"/>
      <c r="G30" s="27"/>
      <c r="H30" s="27"/>
      <c r="I30" s="28"/>
      <c r="J30" s="28"/>
      <c r="K30" s="9">
        <f t="shared" si="8"/>
        <v>6950.95</v>
      </c>
      <c r="L30" s="3">
        <v>731.08</v>
      </c>
      <c r="M30" s="3">
        <v>751.97</v>
      </c>
      <c r="N30" s="2">
        <f t="shared" si="9"/>
        <v>669.71</v>
      </c>
      <c r="O30" s="2">
        <f t="shared" si="2"/>
        <v>2152.7600000000002</v>
      </c>
      <c r="P30" s="15">
        <f t="shared" si="3"/>
        <v>4798.1899999999996</v>
      </c>
      <c r="Q30" s="21"/>
      <c r="R30" s="22">
        <v>4798.1899999999996</v>
      </c>
    </row>
    <row r="31" spans="1:18" x14ac:dyDescent="0.25">
      <c r="A31">
        <v>25</v>
      </c>
      <c r="B31" s="13" t="s">
        <v>18</v>
      </c>
      <c r="C31" s="11">
        <f>4898.06+393+1518.4</f>
        <v>6809.4600000000009</v>
      </c>
      <c r="D31" s="24"/>
      <c r="E31" s="27"/>
      <c r="F31" s="27"/>
      <c r="G31" s="27"/>
      <c r="H31" s="27">
        <f>2449.03+759.2</f>
        <v>3208.2300000000005</v>
      </c>
      <c r="I31" s="28"/>
      <c r="J31" s="28"/>
      <c r="K31" s="9">
        <f t="shared" si="8"/>
        <v>10017.690000000002</v>
      </c>
      <c r="L31" s="3">
        <v>796.45</v>
      </c>
      <c r="M31" s="3">
        <v>751.97</v>
      </c>
      <c r="N31" s="2">
        <f t="shared" si="9"/>
        <v>238.84000000000196</v>
      </c>
      <c r="O31" s="2">
        <f t="shared" si="2"/>
        <v>1787.260000000002</v>
      </c>
      <c r="P31" s="15">
        <f t="shared" si="3"/>
        <v>8230.43</v>
      </c>
      <c r="Q31" s="21"/>
      <c r="R31" s="22">
        <v>8230.43</v>
      </c>
    </row>
    <row r="32" spans="1:18" x14ac:dyDescent="0.25">
      <c r="A32">
        <v>26</v>
      </c>
      <c r="B32" s="13" t="s">
        <v>60</v>
      </c>
      <c r="C32" s="11">
        <f>4591.25+309+137.74</f>
        <v>5037.99</v>
      </c>
      <c r="D32" s="24"/>
      <c r="E32" s="27"/>
      <c r="F32" s="27"/>
      <c r="G32" s="27"/>
      <c r="H32" s="27">
        <f>2295.63+68.87</f>
        <v>2364.5</v>
      </c>
      <c r="I32" s="28"/>
      <c r="J32" s="28"/>
      <c r="K32" s="9">
        <f>SUM(C32:I32)</f>
        <v>7402.49</v>
      </c>
      <c r="L32" s="3">
        <v>372.18</v>
      </c>
      <c r="M32" s="3">
        <v>556.59</v>
      </c>
      <c r="N32" s="2">
        <f t="shared" ref="N32" si="13">K32-L32-M32-R32</f>
        <v>42.119999999998981</v>
      </c>
      <c r="O32" s="2">
        <f t="shared" ref="O32" si="14">SUM(L32:N32)</f>
        <v>970.88999999999896</v>
      </c>
      <c r="P32" s="15">
        <f>SUM(K32-O32)+H32</f>
        <v>8796.1</v>
      </c>
      <c r="Q32" s="21"/>
      <c r="R32" s="22">
        <v>6431.6</v>
      </c>
    </row>
    <row r="33" spans="1:18" x14ac:dyDescent="0.25">
      <c r="A33">
        <v>27</v>
      </c>
      <c r="B33" s="13" t="s">
        <v>19</v>
      </c>
      <c r="C33" s="11">
        <f>1869.23+332.75+392.54</f>
        <v>2594.52</v>
      </c>
      <c r="D33" s="24"/>
      <c r="E33" s="27"/>
      <c r="F33" s="27">
        <v>40.33</v>
      </c>
      <c r="G33" s="27"/>
      <c r="H33" s="27"/>
      <c r="I33" s="28"/>
      <c r="J33" s="28"/>
      <c r="K33" s="9">
        <f>SUM(C33:I33)</f>
        <v>2634.85</v>
      </c>
      <c r="L33" s="3"/>
      <c r="M33" s="3">
        <v>182.51</v>
      </c>
      <c r="N33" s="2">
        <f t="shared" si="9"/>
        <v>544.86000000000013</v>
      </c>
      <c r="O33" s="2">
        <f t="shared" si="2"/>
        <v>727.37000000000012</v>
      </c>
      <c r="P33" s="15">
        <f>SUM(K33-O33)+H33</f>
        <v>1907.4799999999998</v>
      </c>
      <c r="Q33" s="21"/>
      <c r="R33" s="22">
        <v>1907.48</v>
      </c>
    </row>
    <row r="34" spans="1:18" x14ac:dyDescent="0.25">
      <c r="A34">
        <v>28</v>
      </c>
      <c r="B34" s="13" t="s">
        <v>20</v>
      </c>
      <c r="C34" s="11">
        <f>2413.18+403.2+347.5</f>
        <v>3163.8799999999997</v>
      </c>
      <c r="D34" s="24">
        <v>482.64</v>
      </c>
      <c r="E34" s="27"/>
      <c r="F34" s="27">
        <f>551.58+2757.91+397.14+1235.54</f>
        <v>4942.17</v>
      </c>
      <c r="G34" s="27"/>
      <c r="H34" s="27"/>
      <c r="I34" s="28"/>
      <c r="J34" s="28"/>
      <c r="K34" s="9">
        <f>SUM(C34:I34)</f>
        <v>8588.6899999999987</v>
      </c>
      <c r="L34" s="3">
        <f>160.86+353.64</f>
        <v>514.5</v>
      </c>
      <c r="M34" s="3">
        <f>208.79+543.18</f>
        <v>751.96999999999991</v>
      </c>
      <c r="N34" s="2">
        <f t="shared" si="9"/>
        <v>4112.4699999999984</v>
      </c>
      <c r="O34" s="2">
        <f t="shared" si="2"/>
        <v>5378.9399999999987</v>
      </c>
      <c r="P34" s="15">
        <f t="shared" si="3"/>
        <v>3209.75</v>
      </c>
      <c r="Q34" s="21"/>
      <c r="R34" s="22">
        <v>3209.75</v>
      </c>
    </row>
    <row r="35" spans="1:18" x14ac:dyDescent="0.25">
      <c r="A35">
        <v>29</v>
      </c>
      <c r="B35" s="13" t="s">
        <v>21</v>
      </c>
      <c r="C35" s="11">
        <f>12130.55+446.4+3639.17</f>
        <v>16216.119999999999</v>
      </c>
      <c r="D35" s="24">
        <v>2426.11</v>
      </c>
      <c r="E35" s="27"/>
      <c r="F35" s="27"/>
      <c r="G35" s="27"/>
      <c r="H35" s="27">
        <f>6065.28+1819.59+1213.06</f>
        <v>9097.93</v>
      </c>
      <c r="I35" s="28"/>
      <c r="J35" s="28"/>
      <c r="K35" s="9">
        <f t="shared" ref="K35:K40" si="15">SUM(C35:I35)</f>
        <v>27740.16</v>
      </c>
      <c r="L35" s="3">
        <v>3998.32</v>
      </c>
      <c r="M35" s="3">
        <v>751.97</v>
      </c>
      <c r="N35" s="2">
        <f t="shared" si="9"/>
        <v>7.180000000000291</v>
      </c>
      <c r="O35" s="2">
        <f t="shared" si="2"/>
        <v>4757.47</v>
      </c>
      <c r="P35" s="15">
        <f t="shared" si="3"/>
        <v>22982.69</v>
      </c>
      <c r="Q35" s="21"/>
      <c r="R35" s="22">
        <v>22982.69</v>
      </c>
    </row>
    <row r="36" spans="1:18" x14ac:dyDescent="0.25">
      <c r="A36">
        <v>30</v>
      </c>
      <c r="B36" s="13" t="s">
        <v>61</v>
      </c>
      <c r="C36" s="11">
        <f>5077.52+399.6+670.23</f>
        <v>6147.35</v>
      </c>
      <c r="D36" s="24">
        <v>1015.5</v>
      </c>
      <c r="E36" s="27"/>
      <c r="F36" s="27"/>
      <c r="G36" s="27"/>
      <c r="H36" s="27"/>
      <c r="I36" s="28"/>
      <c r="J36" s="28"/>
      <c r="K36" s="9">
        <f t="shared" si="15"/>
        <v>7162.85</v>
      </c>
      <c r="L36" s="3">
        <v>893.63</v>
      </c>
      <c r="M36" s="3">
        <v>751.97</v>
      </c>
      <c r="N36" s="2">
        <f t="shared" si="9"/>
        <v>198.93000000000029</v>
      </c>
      <c r="O36" s="2">
        <f t="shared" si="2"/>
        <v>1844.5300000000002</v>
      </c>
      <c r="P36" s="15">
        <f t="shared" si="3"/>
        <v>5318.32</v>
      </c>
      <c r="Q36" s="21"/>
      <c r="R36" s="22">
        <v>5318.32</v>
      </c>
    </row>
    <row r="37" spans="1:18" x14ac:dyDescent="0.25">
      <c r="A37">
        <v>31</v>
      </c>
      <c r="B37" s="13" t="s">
        <v>22</v>
      </c>
      <c r="C37" s="11">
        <f>4807.65+385.2+403.84</f>
        <v>5596.69</v>
      </c>
      <c r="D37" s="24">
        <v>961.53</v>
      </c>
      <c r="E37" s="27"/>
      <c r="F37" s="27"/>
      <c r="G37" s="27"/>
      <c r="H37" s="27">
        <f>2403.82+201.92+480.76</f>
        <v>3086.5</v>
      </c>
      <c r="I37" s="28"/>
      <c r="J37" s="28"/>
      <c r="K37" s="9">
        <f t="shared" si="15"/>
        <v>9644.7199999999993</v>
      </c>
      <c r="L37" s="3">
        <v>623.08000000000004</v>
      </c>
      <c r="M37" s="3">
        <v>751.97</v>
      </c>
      <c r="N37" s="2">
        <f t="shared" si="9"/>
        <v>1692.54</v>
      </c>
      <c r="O37" s="2">
        <f t="shared" si="2"/>
        <v>3067.59</v>
      </c>
      <c r="P37" s="15">
        <f>SUM(K37-O37)+H37</f>
        <v>9663.6299999999992</v>
      </c>
      <c r="Q37" s="21"/>
      <c r="R37" s="22">
        <v>6577.13</v>
      </c>
    </row>
    <row r="38" spans="1:18" x14ac:dyDescent="0.25">
      <c r="A38">
        <v>32</v>
      </c>
      <c r="B38" s="13" t="s">
        <v>58</v>
      </c>
      <c r="C38" s="11">
        <f>1976.35+309+59.29</f>
        <v>2344.64</v>
      </c>
      <c r="D38" s="24"/>
      <c r="E38" s="27"/>
      <c r="F38" s="27"/>
      <c r="G38" s="27"/>
      <c r="H38" s="27">
        <f>988.18+29.65</f>
        <v>1017.8299999999999</v>
      </c>
      <c r="I38" s="28"/>
      <c r="J38" s="28"/>
      <c r="K38" s="9">
        <f t="shared" si="15"/>
        <v>3362.47</v>
      </c>
      <c r="L38" s="3">
        <v>18.14</v>
      </c>
      <c r="M38" s="3">
        <v>198.74</v>
      </c>
      <c r="N38" s="2">
        <f t="shared" ref="N38" si="16">K38-L38-M38-R38</f>
        <v>17.059999999999945</v>
      </c>
      <c r="O38" s="2">
        <f t="shared" ref="O38" si="17">SUM(L38:N38)</f>
        <v>233.93999999999994</v>
      </c>
      <c r="P38" s="15">
        <f t="shared" ref="P38" si="18">SUM(K38-O38)</f>
        <v>3128.5299999999997</v>
      </c>
      <c r="Q38" s="21"/>
      <c r="R38" s="22">
        <v>3128.53</v>
      </c>
    </row>
    <row r="39" spans="1:18" x14ac:dyDescent="0.25">
      <c r="A39">
        <v>33</v>
      </c>
      <c r="B39" s="13" t="s">
        <v>23</v>
      </c>
      <c r="C39" s="11">
        <f>2866.68+336+344</f>
        <v>3546.68</v>
      </c>
      <c r="D39" s="24"/>
      <c r="E39" s="27"/>
      <c r="F39" s="27"/>
      <c r="G39" s="27"/>
      <c r="H39" s="27">
        <f>1433.34+172</f>
        <v>1605.34</v>
      </c>
      <c r="I39" s="28"/>
      <c r="J39" s="28"/>
      <c r="K39" s="9">
        <f t="shared" si="15"/>
        <v>5152.0199999999995</v>
      </c>
      <c r="L39" s="3">
        <v>125.03</v>
      </c>
      <c r="M39" s="3">
        <v>347.81</v>
      </c>
      <c r="N39" s="2">
        <f t="shared" si="9"/>
        <v>843.75999999999931</v>
      </c>
      <c r="O39" s="2">
        <f t="shared" si="2"/>
        <v>1316.5999999999995</v>
      </c>
      <c r="P39" s="15">
        <f t="shared" si="3"/>
        <v>3835.42</v>
      </c>
      <c r="Q39" s="21"/>
      <c r="R39" s="22">
        <v>3835.42</v>
      </c>
    </row>
    <row r="40" spans="1:18" x14ac:dyDescent="0.25">
      <c r="A40">
        <v>34</v>
      </c>
      <c r="B40" s="13" t="s">
        <v>24</v>
      </c>
      <c r="C40" s="11">
        <f>12130.55+453.6+3784.73</f>
        <v>16368.88</v>
      </c>
      <c r="D40" s="24">
        <v>2426.11</v>
      </c>
      <c r="E40" s="27"/>
      <c r="F40" s="27"/>
      <c r="G40" s="27"/>
      <c r="H40" s="27"/>
      <c r="I40" s="28"/>
      <c r="J40" s="28"/>
      <c r="K40" s="9">
        <f t="shared" si="15"/>
        <v>18794.989999999998</v>
      </c>
      <c r="L40" s="3">
        <v>3988.2</v>
      </c>
      <c r="M40" s="3">
        <v>751.97</v>
      </c>
      <c r="N40" s="2">
        <f t="shared" si="9"/>
        <v>80.179999999998472</v>
      </c>
      <c r="O40" s="2">
        <f t="shared" si="2"/>
        <v>4820.3499999999985</v>
      </c>
      <c r="P40" s="15">
        <f t="shared" si="3"/>
        <v>13974.64</v>
      </c>
      <c r="Q40" s="21"/>
      <c r="R40" s="22">
        <v>13974.64</v>
      </c>
    </row>
    <row r="41" spans="1:18" x14ac:dyDescent="0.25">
      <c r="A41">
        <v>35</v>
      </c>
      <c r="B41" s="34" t="s">
        <v>25</v>
      </c>
      <c r="C41" s="35">
        <f>2014.23+333+221.57</f>
        <v>2568.8000000000002</v>
      </c>
      <c r="D41" s="25"/>
      <c r="E41" s="36"/>
      <c r="F41" s="36"/>
      <c r="G41" s="36"/>
      <c r="H41" s="36">
        <f>1007.12+110.78</f>
        <v>1117.9000000000001</v>
      </c>
      <c r="I41" s="33"/>
      <c r="J41" s="33"/>
      <c r="K41" s="37">
        <f t="shared" ref="K41:K49" si="19">SUM(C41:I41)</f>
        <v>3686.7000000000003</v>
      </c>
      <c r="L41" s="38">
        <v>32.94</v>
      </c>
      <c r="M41" s="38">
        <v>225.64</v>
      </c>
      <c r="N41" s="39">
        <f t="shared" ref="N41:N60" si="20">K41-L41-M41-R41</f>
        <v>869.29000000000042</v>
      </c>
      <c r="O41" s="39">
        <f t="shared" si="2"/>
        <v>1127.8700000000003</v>
      </c>
      <c r="P41" s="40">
        <f t="shared" si="3"/>
        <v>2558.83</v>
      </c>
      <c r="Q41" s="21"/>
      <c r="R41" s="22">
        <v>2558.83</v>
      </c>
    </row>
    <row r="42" spans="1:18" x14ac:dyDescent="0.25">
      <c r="A42">
        <v>36</v>
      </c>
      <c r="B42" s="13" t="s">
        <v>26</v>
      </c>
      <c r="C42" s="11">
        <f>3641.92+363+764.8</f>
        <v>4769.72</v>
      </c>
      <c r="D42" s="24">
        <v>50</v>
      </c>
      <c r="E42" s="27"/>
      <c r="F42" s="27"/>
      <c r="G42" s="27"/>
      <c r="H42" s="27">
        <f>1820.96+382.4</f>
        <v>2203.36</v>
      </c>
      <c r="I42" s="29"/>
      <c r="J42" s="29"/>
      <c r="K42" s="9">
        <f t="shared" si="19"/>
        <v>7023.08</v>
      </c>
      <c r="L42" s="3">
        <v>329.95</v>
      </c>
      <c r="M42" s="3">
        <v>526.04</v>
      </c>
      <c r="N42" s="2">
        <f t="shared" si="20"/>
        <v>452</v>
      </c>
      <c r="O42" s="2">
        <f t="shared" si="2"/>
        <v>1307.99</v>
      </c>
      <c r="P42" s="15">
        <f t="shared" si="3"/>
        <v>5715.09</v>
      </c>
      <c r="Q42" s="21"/>
      <c r="R42" s="22">
        <v>5715.09</v>
      </c>
    </row>
    <row r="43" spans="1:18" x14ac:dyDescent="0.25">
      <c r="A43">
        <v>37</v>
      </c>
      <c r="B43" s="13" t="s">
        <v>27</v>
      </c>
      <c r="C43" s="11">
        <f>8008.53+342+1121.19</f>
        <v>9471.7199999999993</v>
      </c>
      <c r="D43" s="24"/>
      <c r="E43" s="27"/>
      <c r="F43" s="27"/>
      <c r="G43" s="27"/>
      <c r="H43" s="27">
        <f>4004.27+560.6</f>
        <v>4564.87</v>
      </c>
      <c r="I43" s="29">
        <v>10627.11</v>
      </c>
      <c r="J43" s="29"/>
      <c r="K43" s="9">
        <f t="shared" si="19"/>
        <v>24663.7</v>
      </c>
      <c r="L43" s="3">
        <v>4398.8900000000003</v>
      </c>
      <c r="M43" s="3">
        <v>751.97</v>
      </c>
      <c r="N43" s="2">
        <f t="shared" si="20"/>
        <v>677</v>
      </c>
      <c r="O43" s="2">
        <f t="shared" si="2"/>
        <v>5827.8600000000006</v>
      </c>
      <c r="P43" s="15">
        <f t="shared" si="3"/>
        <v>18835.84</v>
      </c>
      <c r="Q43" s="21"/>
      <c r="R43" s="22">
        <v>18835.84</v>
      </c>
    </row>
    <row r="44" spans="1:18" x14ac:dyDescent="0.25">
      <c r="A44">
        <v>38</v>
      </c>
      <c r="B44" s="13" t="s">
        <v>28</v>
      </c>
      <c r="C44" s="11">
        <f>4531.92+372+2376.94</f>
        <v>7280.8600000000006</v>
      </c>
      <c r="D44" s="24">
        <v>5000</v>
      </c>
      <c r="E44" s="27"/>
      <c r="F44" s="27">
        <f>906.38+457.53+787.97+1000</f>
        <v>3151.88</v>
      </c>
      <c r="G44" s="27"/>
      <c r="H44" s="27">
        <f>2719.15+1372.6+3000</f>
        <v>7091.75</v>
      </c>
      <c r="I44" s="29"/>
      <c r="J44" s="29"/>
      <c r="K44" s="9">
        <f t="shared" si="19"/>
        <v>22524.49</v>
      </c>
      <c r="L44" s="3">
        <f>2330.24+57.2</f>
        <v>2387.4399999999996</v>
      </c>
      <c r="M44" s="3">
        <v>751.97</v>
      </c>
      <c r="N44" s="2">
        <f>K44-L44-M44-R44</f>
        <v>3679.6900000000023</v>
      </c>
      <c r="O44" s="2">
        <f>SUM(L44:N44)</f>
        <v>6819.1000000000022</v>
      </c>
      <c r="P44" s="15">
        <f t="shared" si="3"/>
        <v>15705.39</v>
      </c>
      <c r="Q44" s="21"/>
      <c r="R44" s="22">
        <v>15705.39</v>
      </c>
    </row>
    <row r="45" spans="1:18" x14ac:dyDescent="0.25">
      <c r="A45">
        <v>39</v>
      </c>
      <c r="B45" s="13" t="s">
        <v>29</v>
      </c>
      <c r="C45" s="11">
        <f>5077.52+348.84+853.02</f>
        <v>6279.380000000001</v>
      </c>
      <c r="D45" s="24">
        <v>1015.5</v>
      </c>
      <c r="E45" s="27"/>
      <c r="F45" s="27">
        <v>82.07</v>
      </c>
      <c r="G45" s="27"/>
      <c r="H45" s="27"/>
      <c r="I45" s="29"/>
      <c r="J45" s="29"/>
      <c r="K45" s="9">
        <f t="shared" si="19"/>
        <v>7376.9500000000007</v>
      </c>
      <c r="L45" s="3">
        <v>848.23</v>
      </c>
      <c r="M45" s="3">
        <v>751.97</v>
      </c>
      <c r="N45" s="2">
        <f t="shared" si="20"/>
        <v>436.94000000000051</v>
      </c>
      <c r="O45" s="2">
        <f t="shared" si="2"/>
        <v>2037.1400000000006</v>
      </c>
      <c r="P45" s="15">
        <f t="shared" si="3"/>
        <v>5339.81</v>
      </c>
      <c r="Q45" s="21"/>
      <c r="R45" s="22">
        <v>5339.81</v>
      </c>
    </row>
    <row r="46" spans="1:18" x14ac:dyDescent="0.25">
      <c r="A46">
        <v>40</v>
      </c>
      <c r="B46" s="13" t="s">
        <v>30</v>
      </c>
      <c r="C46" s="11">
        <f>5564.85+384+1558.16</f>
        <v>7507.01</v>
      </c>
      <c r="D46" s="24"/>
      <c r="E46" s="27"/>
      <c r="F46" s="24"/>
      <c r="G46" s="27"/>
      <c r="H46" s="27"/>
      <c r="I46" s="29"/>
      <c r="J46" s="29"/>
      <c r="K46" s="9">
        <f t="shared" si="19"/>
        <v>7507.01</v>
      </c>
      <c r="L46" s="3">
        <v>963.14</v>
      </c>
      <c r="M46" s="3">
        <v>751.97</v>
      </c>
      <c r="N46" s="2">
        <f t="shared" si="20"/>
        <v>869.1299999999992</v>
      </c>
      <c r="O46" s="2">
        <f t="shared" si="2"/>
        <v>2584.2399999999993</v>
      </c>
      <c r="P46" s="15">
        <f>SUM(K46-O46)+H46</f>
        <v>4922.7700000000004</v>
      </c>
      <c r="Q46" s="21"/>
      <c r="R46" s="22">
        <v>4922.7700000000004</v>
      </c>
    </row>
    <row r="47" spans="1:18" x14ac:dyDescent="0.25">
      <c r="A47">
        <v>41</v>
      </c>
      <c r="B47" s="13" t="s">
        <v>31</v>
      </c>
      <c r="C47" s="11">
        <f>3046.51+213.12+402.14</f>
        <v>3661.77</v>
      </c>
      <c r="D47" s="24">
        <v>609.29999999999995</v>
      </c>
      <c r="E47" s="27"/>
      <c r="F47" s="27">
        <f>394.2+1971.01+260.17+875.12+337.43</f>
        <v>3837.93</v>
      </c>
      <c r="G47" s="27"/>
      <c r="H47" s="27"/>
      <c r="I47" s="29"/>
      <c r="J47" s="29"/>
      <c r="K47" s="9">
        <f t="shared" si="19"/>
        <v>8109</v>
      </c>
      <c r="L47" s="3">
        <v>211.29</v>
      </c>
      <c r="M47" s="3">
        <f>652.62+99.35</f>
        <v>751.97</v>
      </c>
      <c r="N47" s="2">
        <f t="shared" si="20"/>
        <v>5628.36</v>
      </c>
      <c r="O47" s="2">
        <f t="shared" si="2"/>
        <v>6591.62</v>
      </c>
      <c r="P47" s="15">
        <f>SUM(K47-O47)+H47</f>
        <v>1517.38</v>
      </c>
      <c r="Q47" s="21"/>
      <c r="R47" s="22">
        <v>1517.38</v>
      </c>
    </row>
    <row r="48" spans="1:18" x14ac:dyDescent="0.25">
      <c r="A48">
        <v>42</v>
      </c>
      <c r="B48" s="13" t="s">
        <v>32</v>
      </c>
      <c r="C48" s="11">
        <f>3526.95+336+423.23</f>
        <v>4286.18</v>
      </c>
      <c r="D48" s="24"/>
      <c r="E48" s="27"/>
      <c r="F48" s="27">
        <f>391.88+47.03+146.3</f>
        <v>585.21</v>
      </c>
      <c r="G48" s="27"/>
      <c r="H48" s="27">
        <f>1959.42+235.13</f>
        <v>2194.5500000000002</v>
      </c>
      <c r="I48" s="29"/>
      <c r="J48" s="29"/>
      <c r="K48" s="9">
        <f t="shared" si="19"/>
        <v>7065.9400000000005</v>
      </c>
      <c r="L48" s="3">
        <f>159.31+28.08</f>
        <v>187.39</v>
      </c>
      <c r="M48" s="3">
        <f>479.57+53.7</f>
        <v>533.27</v>
      </c>
      <c r="N48" s="2">
        <f t="shared" si="20"/>
        <v>1174.4700000000003</v>
      </c>
      <c r="O48" s="2">
        <f t="shared" si="2"/>
        <v>1895.13</v>
      </c>
      <c r="P48" s="15">
        <f t="shared" si="3"/>
        <v>5170.8100000000004</v>
      </c>
      <c r="Q48" s="21"/>
      <c r="R48" s="22">
        <v>5170.8100000000004</v>
      </c>
    </row>
    <row r="49" spans="1:18" x14ac:dyDescent="0.25">
      <c r="A49">
        <v>43</v>
      </c>
      <c r="B49" s="13" t="s">
        <v>64</v>
      </c>
      <c r="C49" s="11">
        <f>2424.15+232.2+193.93</f>
        <v>2850.2799999999997</v>
      </c>
      <c r="D49" s="24"/>
      <c r="E49" s="27"/>
      <c r="F49" s="27">
        <v>121.25</v>
      </c>
      <c r="G49" s="27"/>
      <c r="H49" s="27">
        <f>1212.08+96.97</f>
        <v>1309.05</v>
      </c>
      <c r="I49" s="29"/>
      <c r="J49" s="29"/>
      <c r="K49" s="9">
        <f t="shared" si="19"/>
        <v>4280.58</v>
      </c>
      <c r="L49" s="3">
        <v>59.52</v>
      </c>
      <c r="M49" s="3">
        <v>273.97000000000003</v>
      </c>
      <c r="N49" s="2">
        <f t="shared" si="20"/>
        <v>7.1799999999993815</v>
      </c>
      <c r="O49" s="2">
        <f t="shared" si="2"/>
        <v>340.66999999999939</v>
      </c>
      <c r="P49" s="15">
        <f t="shared" si="3"/>
        <v>3939.9100000000008</v>
      </c>
      <c r="Q49" s="21"/>
      <c r="R49" s="22">
        <v>3939.91</v>
      </c>
    </row>
    <row r="50" spans="1:18" x14ac:dyDescent="0.25">
      <c r="A50">
        <v>44</v>
      </c>
      <c r="B50" s="13" t="s">
        <v>33</v>
      </c>
      <c r="C50" s="11">
        <f>5077.52+403.2+731.16</f>
        <v>6211.88</v>
      </c>
      <c r="D50" s="24">
        <v>1015.5</v>
      </c>
      <c r="E50" s="27"/>
      <c r="F50" s="27"/>
      <c r="G50" s="27"/>
      <c r="H50" s="27"/>
      <c r="I50" s="29"/>
      <c r="J50" s="29"/>
      <c r="K50" s="9">
        <f t="shared" ref="K50:K57" si="21">SUM(C50:I50)</f>
        <v>7227.38</v>
      </c>
      <c r="L50" s="3">
        <v>859.24</v>
      </c>
      <c r="M50" s="3">
        <v>751.97</v>
      </c>
      <c r="N50" s="2">
        <f t="shared" si="20"/>
        <v>221.93000000000029</v>
      </c>
      <c r="O50" s="2">
        <f t="shared" si="2"/>
        <v>1833.1400000000003</v>
      </c>
      <c r="P50" s="15">
        <f t="shared" si="3"/>
        <v>5394.24</v>
      </c>
      <c r="Q50" s="21"/>
      <c r="R50" s="22">
        <v>5394.24</v>
      </c>
    </row>
    <row r="51" spans="1:18" x14ac:dyDescent="0.25">
      <c r="A51">
        <v>45</v>
      </c>
      <c r="B51" s="13" t="s">
        <v>34</v>
      </c>
      <c r="C51" s="11">
        <f>5257.16+324+420.57</f>
        <v>6001.73</v>
      </c>
      <c r="D51" s="24"/>
      <c r="E51" s="27"/>
      <c r="F51" s="27"/>
      <c r="G51" s="27"/>
      <c r="H51" s="27">
        <f>2628.58+210.29</f>
        <v>2838.87</v>
      </c>
      <c r="I51" s="29"/>
      <c r="J51" s="29"/>
      <c r="K51" s="9">
        <f t="shared" si="21"/>
        <v>8840.5999999999985</v>
      </c>
      <c r="L51" s="3">
        <v>538.80999999999995</v>
      </c>
      <c r="M51" s="3">
        <v>691.52</v>
      </c>
      <c r="N51" s="2">
        <f t="shared" si="20"/>
        <v>776.39999999999873</v>
      </c>
      <c r="O51" s="2">
        <f t="shared" si="2"/>
        <v>2006.7299999999987</v>
      </c>
      <c r="P51" s="15">
        <f t="shared" si="3"/>
        <v>6833.87</v>
      </c>
      <c r="Q51" s="21"/>
      <c r="R51" s="22">
        <v>6833.87</v>
      </c>
    </row>
    <row r="52" spans="1:18" x14ac:dyDescent="0.25">
      <c r="A52">
        <v>46</v>
      </c>
      <c r="B52" s="13" t="s">
        <v>57</v>
      </c>
      <c r="C52" s="11">
        <f>1976.35+309+59.29</f>
        <v>2344.64</v>
      </c>
      <c r="D52" s="24"/>
      <c r="E52" s="27"/>
      <c r="F52" s="27"/>
      <c r="G52" s="27"/>
      <c r="H52" s="27">
        <f>988.18+29.65</f>
        <v>1017.8299999999999</v>
      </c>
      <c r="I52" s="29"/>
      <c r="J52" s="29"/>
      <c r="K52" s="9">
        <f t="shared" si="21"/>
        <v>3362.47</v>
      </c>
      <c r="L52" s="3">
        <v>18.14</v>
      </c>
      <c r="M52" s="3">
        <v>198.74</v>
      </c>
      <c r="N52" s="2">
        <f t="shared" ref="N52" si="22">K52-L52-M52-R52</f>
        <v>7.180000000000291</v>
      </c>
      <c r="O52" s="2">
        <f t="shared" ref="O52" si="23">SUM(L52:N52)</f>
        <v>224.06000000000029</v>
      </c>
      <c r="P52" s="15">
        <f t="shared" ref="P52" si="24">SUM(K52-O52)</f>
        <v>3138.4099999999994</v>
      </c>
      <c r="Q52" s="21"/>
      <c r="R52" s="22">
        <v>3138.41</v>
      </c>
    </row>
    <row r="53" spans="1:18" x14ac:dyDescent="0.25">
      <c r="A53">
        <v>47</v>
      </c>
      <c r="B53" s="13" t="s">
        <v>35</v>
      </c>
      <c r="C53" s="11">
        <f>12130.55+460.8+4221.43</f>
        <v>16812.78</v>
      </c>
      <c r="D53" s="24">
        <v>2426.11</v>
      </c>
      <c r="E53" s="27"/>
      <c r="F53" s="27"/>
      <c r="G53" s="27"/>
      <c r="H53" s="27"/>
      <c r="I53" s="29"/>
      <c r="J53" s="29"/>
      <c r="K53" s="9">
        <f t="shared" si="21"/>
        <v>19238.89</v>
      </c>
      <c r="L53" s="3">
        <v>4214.54</v>
      </c>
      <c r="M53" s="3">
        <v>751.97</v>
      </c>
      <c r="N53" s="2">
        <f t="shared" si="20"/>
        <v>7.179999999998472</v>
      </c>
      <c r="O53" s="2">
        <f t="shared" si="2"/>
        <v>4973.6899999999987</v>
      </c>
      <c r="P53" s="15">
        <f>SUM(K53-O53)+H53</f>
        <v>14265.2</v>
      </c>
      <c r="Q53" s="21"/>
      <c r="R53" s="22">
        <v>14265.2</v>
      </c>
    </row>
    <row r="54" spans="1:18" x14ac:dyDescent="0.25">
      <c r="A54">
        <v>48</v>
      </c>
      <c r="B54" s="13" t="s">
        <v>36</v>
      </c>
      <c r="C54" s="11">
        <f>1363.2+342+190.85</f>
        <v>1896.05</v>
      </c>
      <c r="D54" s="24"/>
      <c r="E54" s="27"/>
      <c r="F54" s="27">
        <f>681.6+95.42+259.01</f>
        <v>1036.03</v>
      </c>
      <c r="G54" s="27"/>
      <c r="H54" s="27">
        <f>1022.4+143.14</f>
        <v>1165.54</v>
      </c>
      <c r="I54" s="29"/>
      <c r="J54" s="29"/>
      <c r="K54" s="9">
        <f t="shared" si="21"/>
        <v>4097.62</v>
      </c>
      <c r="L54" s="3"/>
      <c r="M54" s="3">
        <f>191.54+77.7</f>
        <v>269.24</v>
      </c>
      <c r="N54" s="2">
        <f t="shared" si="20"/>
        <v>1000.69</v>
      </c>
      <c r="O54" s="2">
        <f t="shared" si="2"/>
        <v>1269.93</v>
      </c>
      <c r="P54" s="15">
        <f t="shared" si="3"/>
        <v>2827.6899999999996</v>
      </c>
      <c r="Q54" s="21"/>
      <c r="R54" s="22">
        <v>2827.69</v>
      </c>
    </row>
    <row r="55" spans="1:18" x14ac:dyDescent="0.25">
      <c r="A55">
        <v>49</v>
      </c>
      <c r="B55" s="13" t="s">
        <v>79</v>
      </c>
      <c r="C55" s="11">
        <f>2819.57+280</f>
        <v>3099.57</v>
      </c>
      <c r="D55" s="24"/>
      <c r="E55" s="27"/>
      <c r="F55" s="27"/>
      <c r="G55" s="27"/>
      <c r="H55" s="27">
        <f>1057.34</f>
        <v>1057.3399999999999</v>
      </c>
      <c r="I55" s="29"/>
      <c r="J55" s="29"/>
      <c r="K55" s="9">
        <f t="shared" si="21"/>
        <v>4156.91</v>
      </c>
      <c r="L55" s="3">
        <v>67.97</v>
      </c>
      <c r="M55" s="3">
        <v>289.33999999999997</v>
      </c>
      <c r="N55" s="2">
        <f t="shared" ref="N55" si="25">K55-L55-M55-R55</f>
        <v>691.25</v>
      </c>
      <c r="O55" s="2">
        <f t="shared" ref="O55" si="26">SUM(L55:N55)</f>
        <v>1048.56</v>
      </c>
      <c r="P55" s="15">
        <f t="shared" ref="P55" si="27">SUM(K55-O55)</f>
        <v>3108.35</v>
      </c>
      <c r="Q55" s="21"/>
      <c r="R55" s="22">
        <v>3108.35</v>
      </c>
    </row>
    <row r="56" spans="1:18" x14ac:dyDescent="0.25">
      <c r="A56">
        <v>50</v>
      </c>
      <c r="B56" s="13" t="s">
        <v>37</v>
      </c>
      <c r="C56" s="11">
        <f>10527.23+475.2+4042.46</f>
        <v>15044.89</v>
      </c>
      <c r="D56" s="24">
        <v>2105.4499999999998</v>
      </c>
      <c r="E56" s="27"/>
      <c r="F56" s="27"/>
      <c r="G56" s="27"/>
      <c r="H56" s="27"/>
      <c r="I56" s="29"/>
      <c r="J56" s="29"/>
      <c r="K56" s="9">
        <f t="shared" si="21"/>
        <v>17150.34</v>
      </c>
      <c r="L56" s="3">
        <v>3588.05</v>
      </c>
      <c r="M56" s="3">
        <v>751.97</v>
      </c>
      <c r="N56" s="2">
        <f t="shared" si="20"/>
        <v>1443.8600000000024</v>
      </c>
      <c r="O56" s="2">
        <f t="shared" si="2"/>
        <v>5783.8800000000028</v>
      </c>
      <c r="P56" s="15">
        <f>SUM(K56-O56)+H56</f>
        <v>11366.459999999997</v>
      </c>
      <c r="Q56" s="21"/>
      <c r="R56" s="22">
        <v>11366.46</v>
      </c>
    </row>
    <row r="57" spans="1:18" x14ac:dyDescent="0.25">
      <c r="A57">
        <v>51</v>
      </c>
      <c r="B57" s="13" t="s">
        <v>38</v>
      </c>
      <c r="C57" s="11">
        <f>4051.09+290.25+1174.82</f>
        <v>5516.16</v>
      </c>
      <c r="D57" s="24"/>
      <c r="E57" s="27"/>
      <c r="F57" s="27">
        <f>128.99+85.99</f>
        <v>214.98000000000002</v>
      </c>
      <c r="G57" s="27"/>
      <c r="H57" s="27"/>
      <c r="I57" s="29"/>
      <c r="J57" s="29"/>
      <c r="K57" s="9">
        <f t="shared" si="21"/>
        <v>5731.1399999999994</v>
      </c>
      <c r="L57" s="3">
        <v>454.48</v>
      </c>
      <c r="M57" s="3">
        <v>641.6</v>
      </c>
      <c r="N57" s="2">
        <f t="shared" si="20"/>
        <v>2177.3999999999996</v>
      </c>
      <c r="O57" s="2">
        <f t="shared" si="2"/>
        <v>3273.4799999999996</v>
      </c>
      <c r="P57" s="15">
        <f t="shared" si="3"/>
        <v>2457.66</v>
      </c>
      <c r="Q57" s="21"/>
      <c r="R57" s="22">
        <v>2457.66</v>
      </c>
    </row>
    <row r="58" spans="1:18" x14ac:dyDescent="0.25">
      <c r="A58">
        <v>52</v>
      </c>
      <c r="B58" s="13" t="s">
        <v>65</v>
      </c>
      <c r="C58" s="11">
        <f>4143.39+277.75+41.43</f>
        <v>4462.5700000000006</v>
      </c>
      <c r="D58" s="24"/>
      <c r="E58" s="27"/>
      <c r="F58" s="27">
        <v>33.65</v>
      </c>
      <c r="G58" s="27"/>
      <c r="H58" s="27">
        <f>2071.7+20.72</f>
        <v>2092.4199999999996</v>
      </c>
      <c r="I58" s="29"/>
      <c r="J58" s="29"/>
      <c r="K58" s="9">
        <f>SUM(C58:I58)</f>
        <v>6588.6399999999994</v>
      </c>
      <c r="L58" s="3">
        <v>267.35000000000002</v>
      </c>
      <c r="M58" s="3">
        <v>480.75</v>
      </c>
      <c r="N58" s="2">
        <f t="shared" ref="N58" si="28">K58-L58-M58-R58</f>
        <v>1058.6099999999988</v>
      </c>
      <c r="O58" s="2">
        <f t="shared" ref="O58" si="29">SUM(L58:N58)</f>
        <v>1806.7099999999987</v>
      </c>
      <c r="P58" s="15">
        <f t="shared" ref="P58" si="30">SUM(K58-O58)</f>
        <v>4781.93</v>
      </c>
      <c r="Q58" s="21"/>
      <c r="R58" s="22">
        <v>4781.93</v>
      </c>
    </row>
    <row r="59" spans="1:18" x14ac:dyDescent="0.25">
      <c r="A59">
        <v>53</v>
      </c>
      <c r="B59" s="13" t="s">
        <v>63</v>
      </c>
      <c r="C59" s="11">
        <f>1778.39+229.5+35.57</f>
        <v>2043.46</v>
      </c>
      <c r="D59" s="24"/>
      <c r="E59" s="27"/>
      <c r="F59" s="27">
        <f>117.03+2.34+39.79+102</f>
        <v>261.15999999999997</v>
      </c>
      <c r="G59" s="27">
        <f>585.14+11.7+198.95+68</f>
        <v>863.79</v>
      </c>
      <c r="H59" s="27">
        <f>952.71+19.05</f>
        <v>971.76</v>
      </c>
      <c r="I59" s="29"/>
      <c r="J59" s="29"/>
      <c r="K59" s="9">
        <f>SUM(C59:I59)</f>
        <v>4140.17</v>
      </c>
      <c r="L59" s="3"/>
      <c r="M59" s="3">
        <f>181.82+12.12</f>
        <v>193.94</v>
      </c>
      <c r="N59" s="2">
        <f t="shared" ref="N59" si="31">K59-L59-M59-R59</f>
        <v>1084.3000000000002</v>
      </c>
      <c r="O59" s="2">
        <f t="shared" ref="O59" si="32">SUM(L59:N59)</f>
        <v>1278.2400000000002</v>
      </c>
      <c r="P59" s="15">
        <f t="shared" ref="P59" si="33">SUM(K59-O59)</f>
        <v>2861.93</v>
      </c>
      <c r="Q59" s="21"/>
      <c r="R59" s="22">
        <v>2861.93</v>
      </c>
    </row>
    <row r="60" spans="1:18" ht="15.75" thickBot="1" x14ac:dyDescent="0.3">
      <c r="A60">
        <v>54</v>
      </c>
      <c r="B60" s="14" t="s">
        <v>39</v>
      </c>
      <c r="C60" s="12">
        <f>8165.71+403.2+1175.86</f>
        <v>9744.77</v>
      </c>
      <c r="D60" s="26">
        <v>1633.14</v>
      </c>
      <c r="E60" s="30"/>
      <c r="F60" s="30"/>
      <c r="G60" s="30"/>
      <c r="H60" s="30">
        <f>4082.86+587.93+816.57</f>
        <v>5487.36</v>
      </c>
      <c r="I60" s="31"/>
      <c r="J60" s="31">
        <v>10627.11</v>
      </c>
      <c r="K60" s="10">
        <f>SUM(C60:J60)</f>
        <v>27492.38</v>
      </c>
      <c r="L60" s="7">
        <v>4923.09</v>
      </c>
      <c r="M60" s="7">
        <v>751.97</v>
      </c>
      <c r="N60" s="8">
        <f t="shared" si="20"/>
        <v>69.979999999999563</v>
      </c>
      <c r="O60" s="8">
        <f t="shared" si="2"/>
        <v>5745.04</v>
      </c>
      <c r="P60" s="16">
        <f t="shared" si="3"/>
        <v>21747.34</v>
      </c>
      <c r="Q60" s="21"/>
      <c r="R60" s="22">
        <v>21747.34</v>
      </c>
    </row>
    <row r="61" spans="1:18" ht="15.75" thickBot="1" x14ac:dyDescent="0.3">
      <c r="B61" s="70"/>
      <c r="C61" s="70"/>
      <c r="D61" s="70"/>
      <c r="E61" s="70"/>
      <c r="F61" s="70"/>
      <c r="G61" s="70"/>
      <c r="H61" s="70"/>
      <c r="I61" s="70"/>
      <c r="J61" s="70"/>
      <c r="K61" s="70"/>
      <c r="L61" s="70"/>
      <c r="M61" s="70"/>
      <c r="N61" s="70"/>
      <c r="O61" s="70"/>
      <c r="P61" s="70"/>
    </row>
    <row r="62" spans="1:18" x14ac:dyDescent="0.25">
      <c r="B62" s="67" t="s">
        <v>82</v>
      </c>
      <c r="C62" s="68"/>
      <c r="D62" s="68"/>
      <c r="E62" s="68"/>
      <c r="F62" s="68"/>
      <c r="G62" s="68"/>
      <c r="H62" s="68"/>
      <c r="I62" s="68"/>
      <c r="J62" s="68"/>
      <c r="K62" s="68"/>
      <c r="L62" s="68"/>
      <c r="M62" s="68"/>
      <c r="N62" s="68"/>
      <c r="O62" s="68"/>
      <c r="P62" s="69"/>
    </row>
    <row r="63" spans="1:18" x14ac:dyDescent="0.25">
      <c r="B63" s="71" t="s">
        <v>83</v>
      </c>
      <c r="C63" s="72"/>
      <c r="D63" s="72"/>
      <c r="E63" s="72"/>
      <c r="F63" s="72"/>
      <c r="G63" s="72"/>
      <c r="H63" s="72"/>
      <c r="I63" s="72"/>
      <c r="J63" s="72"/>
      <c r="K63" s="72"/>
      <c r="L63" s="72"/>
      <c r="M63" s="72"/>
      <c r="N63" s="72"/>
      <c r="O63" s="72"/>
      <c r="P63" s="73"/>
    </row>
    <row r="64" spans="1:18" ht="5.25" customHeight="1" x14ac:dyDescent="0.25">
      <c r="B64" s="48"/>
      <c r="C64" s="49"/>
      <c r="D64" s="49"/>
      <c r="E64" s="49"/>
      <c r="F64" s="49"/>
      <c r="G64" s="49"/>
      <c r="H64" s="49"/>
      <c r="I64" s="49"/>
      <c r="J64" s="49"/>
      <c r="K64" s="49"/>
      <c r="L64" s="49"/>
      <c r="M64" s="49"/>
      <c r="N64" s="49"/>
      <c r="O64" s="49"/>
      <c r="P64" s="50"/>
    </row>
    <row r="65" spans="2:16" x14ac:dyDescent="0.25">
      <c r="B65" s="51" t="s">
        <v>74</v>
      </c>
      <c r="C65" s="52"/>
      <c r="D65" s="52"/>
      <c r="E65" s="52"/>
      <c r="F65" s="52"/>
      <c r="G65" s="52"/>
      <c r="H65" s="52"/>
      <c r="I65" s="52"/>
      <c r="J65" s="52"/>
      <c r="K65" s="52"/>
      <c r="L65" s="52"/>
      <c r="M65" s="52"/>
      <c r="N65" s="52"/>
      <c r="O65" s="52"/>
      <c r="P65" s="53"/>
    </row>
    <row r="66" spans="2:16" x14ac:dyDescent="0.25">
      <c r="B66" s="54" t="s">
        <v>71</v>
      </c>
      <c r="C66" s="55"/>
      <c r="D66" s="55"/>
      <c r="E66" s="55"/>
      <c r="F66" s="55"/>
      <c r="G66" s="55"/>
      <c r="H66" s="55"/>
      <c r="I66" s="55"/>
      <c r="J66" s="55"/>
      <c r="K66" s="55"/>
      <c r="L66" s="55"/>
      <c r="M66" s="55"/>
      <c r="N66" s="55"/>
      <c r="O66" s="55"/>
      <c r="P66" s="56"/>
    </row>
    <row r="67" spans="2:16" x14ac:dyDescent="0.25">
      <c r="B67" s="54" t="s">
        <v>72</v>
      </c>
      <c r="C67" s="55"/>
      <c r="D67" s="55"/>
      <c r="E67" s="55"/>
      <c r="F67" s="55"/>
      <c r="G67" s="55"/>
      <c r="H67" s="55"/>
      <c r="I67" s="55"/>
      <c r="J67" s="55"/>
      <c r="K67" s="55"/>
      <c r="L67" s="55"/>
      <c r="M67" s="55"/>
      <c r="N67" s="55"/>
      <c r="O67" s="55"/>
      <c r="P67" s="56"/>
    </row>
    <row r="68" spans="2:16" x14ac:dyDescent="0.25">
      <c r="B68" s="54" t="s">
        <v>73</v>
      </c>
      <c r="C68" s="55"/>
      <c r="D68" s="55"/>
      <c r="E68" s="55"/>
      <c r="F68" s="55"/>
      <c r="G68" s="55"/>
      <c r="H68" s="55"/>
      <c r="I68" s="55"/>
      <c r="J68" s="55"/>
      <c r="K68" s="55"/>
      <c r="L68" s="55"/>
      <c r="M68" s="55"/>
      <c r="N68" s="55"/>
      <c r="O68" s="55"/>
      <c r="P68" s="56"/>
    </row>
    <row r="69" spans="2:16" ht="15.75" thickBot="1" x14ac:dyDescent="0.3">
      <c r="B69" s="45" t="s">
        <v>84</v>
      </c>
      <c r="C69" s="46"/>
      <c r="D69" s="46"/>
      <c r="E69" s="46"/>
      <c r="F69" s="46"/>
      <c r="G69" s="46"/>
      <c r="H69" s="46"/>
      <c r="I69" s="46"/>
      <c r="J69" s="46"/>
      <c r="K69" s="46"/>
      <c r="L69" s="46"/>
      <c r="M69" s="46"/>
      <c r="N69" s="46"/>
      <c r="O69" s="46"/>
      <c r="P69" s="47"/>
    </row>
    <row r="70" spans="2:16" x14ac:dyDescent="0.25">
      <c r="B70" s="23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</row>
  </sheetData>
  <mergeCells count="19">
    <mergeCell ref="B62:P62"/>
    <mergeCell ref="B61:P61"/>
    <mergeCell ref="B63:P63"/>
    <mergeCell ref="B1:P1"/>
    <mergeCell ref="B2:P2"/>
    <mergeCell ref="B3:P3"/>
    <mergeCell ref="B5:B6"/>
    <mergeCell ref="C5:C6"/>
    <mergeCell ref="L5:L6"/>
    <mergeCell ref="M5:M6"/>
    <mergeCell ref="E5:E6"/>
    <mergeCell ref="D5:D6"/>
    <mergeCell ref="F5:F6"/>
    <mergeCell ref="B69:P69"/>
    <mergeCell ref="B64:P64"/>
    <mergeCell ref="B65:P65"/>
    <mergeCell ref="B66:P66"/>
    <mergeCell ref="B68:P68"/>
    <mergeCell ref="B67:P67"/>
  </mergeCells>
  <pageMargins left="0.23622047244094491" right="3.937007874015748E-2" top="0.19685039370078741" bottom="0" header="0.31496062992125984" footer="0.31496062992125984"/>
  <pageSetup paperSize="9"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mes</vt:lpstr>
      <vt:lpstr>mes!Area_de_impressao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 Aurelio</dc:creator>
  <cp:lastModifiedBy>Marco Aurelio</cp:lastModifiedBy>
  <cp:lastPrinted>2021-06-30T14:07:20Z</cp:lastPrinted>
  <dcterms:created xsi:type="dcterms:W3CDTF">2016-04-28T12:49:34Z</dcterms:created>
  <dcterms:modified xsi:type="dcterms:W3CDTF">2022-01-27T12:42:23Z</dcterms:modified>
</cp:coreProperties>
</file>