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5 - MAIO\"/>
    </mc:Choice>
  </mc:AlternateContent>
  <xr:revisionPtr revIDLastSave="0" documentId="13_ncr:1_{61F8A6D3-1E05-47A4-9A5B-55B0BAD29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6" l="1"/>
  <c r="M59" i="6"/>
  <c r="F59" i="6"/>
  <c r="C59" i="6"/>
  <c r="M58" i="6"/>
  <c r="F58" i="6"/>
  <c r="C58" i="6"/>
  <c r="M57" i="6"/>
  <c r="G57" i="6"/>
  <c r="F57" i="6"/>
  <c r="H57" i="6"/>
  <c r="C57" i="6"/>
  <c r="M47" i="6"/>
  <c r="F47" i="6"/>
  <c r="C47" i="6"/>
  <c r="C45" i="6"/>
  <c r="L26" i="6"/>
  <c r="F26" i="6"/>
  <c r="C26" i="6"/>
  <c r="C22" i="6"/>
  <c r="L21" i="6"/>
  <c r="F21" i="6"/>
  <c r="G21" i="6"/>
  <c r="C21" i="6"/>
  <c r="L15" i="6"/>
  <c r="G15" i="6"/>
  <c r="F15" i="6"/>
  <c r="C15" i="6"/>
  <c r="K10" i="6"/>
  <c r="N10" i="6"/>
  <c r="O10" i="6" s="1"/>
  <c r="P10" i="6" s="1"/>
  <c r="C9" i="6"/>
  <c r="C56" i="6"/>
  <c r="K55" i="6"/>
  <c r="N55" i="6" s="1"/>
  <c r="O55" i="6" s="1"/>
  <c r="P55" i="6" s="1"/>
  <c r="C50" i="6"/>
  <c r="C40" i="6"/>
  <c r="C37" i="6"/>
  <c r="C34" i="6"/>
  <c r="K13" i="6"/>
  <c r="C53" i="6"/>
  <c r="C44" i="6"/>
  <c r="C36" i="6"/>
  <c r="M34" i="6"/>
  <c r="M27" i="6"/>
  <c r="C19" i="6"/>
  <c r="D14" i="6"/>
  <c r="C14" i="6"/>
  <c r="M60" i="6"/>
  <c r="C43" i="6"/>
  <c r="K43" i="6" s="1"/>
  <c r="M36" i="6"/>
  <c r="M45" i="6"/>
  <c r="M44" i="6"/>
  <c r="M43" i="6"/>
  <c r="M28" i="6"/>
  <c r="N13" i="6" l="1"/>
  <c r="O13" i="6" s="1"/>
  <c r="P13" i="6" s="1"/>
  <c r="K24" i="6"/>
  <c r="N24" i="6" s="1"/>
  <c r="O24" i="6" s="1"/>
  <c r="P24" i="6" s="1"/>
  <c r="C35" i="6" l="1"/>
  <c r="K53" i="6" l="1"/>
  <c r="K45" i="6"/>
  <c r="K44" i="6"/>
  <c r="K42" i="6"/>
  <c r="K35" i="6"/>
  <c r="K60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<sst xmlns="http://schemas.openxmlformats.org/spreadsheetml/2006/main" count="87" uniqueCount="85">
  <si>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</si>
  <si>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</si>
  <si>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</si>
  <si>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</si>
  <si>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</si>
  <si>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</si>
  <si>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</si>
  <si>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</si>
  <si>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</si>
  <si>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</si>
  <si>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</si>
  <si>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</si>
  <si>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</si>
  <si>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</si>
  <si>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</si>
  <si>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</si>
  <si>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</si>
  <si>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</si>
  <si>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</si>
  <si>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</si>
  <si>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</si>
  <si>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</si>
  <si>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</si>
  <si>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</si>
  <si>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</si>
  <si>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</si>
  <si>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</si>
  <si>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</si>
  <si>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</si>
  <si>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</si>
  <si>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</si>
  <si>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</si>
  <si>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</si>
  <si>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</si>
  <si>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</si>
  <si>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</si>
  <si>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</si>
  <si>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</si>
  <si>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</si>
  <si>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</si>
  <si>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</si>
  <si>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</si>
  <si>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</si>
  <si>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</si>
  <si>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</si>
  <si>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</si>
  <si>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</si>
  <si>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</si>
  <si>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</si>
  <si>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</si>
  <si>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</si>
  <si>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</si>
  <si>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</si>
  <si>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</si>
  <si>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</si>
  <si>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</si>
  <si>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</si>
  <si>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</si>
  <si>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</si>
  <si>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</si>
  <si>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</si>
  <si>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</si>
  <si>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</si>
  <si>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</si>
  <si>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</si>
  <si>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</si>
  <si>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</si>
  <si>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</si>
  <si>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</si>
  <si>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</si>
  <si>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</si>
  <si>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</si>
  <si>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</si>
  <si>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</si>
  <si>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</si>
  <si>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</si>
  <si>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</si>
  <si>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</si>
  <si>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GUSTAVO ELIAS MUENZ</t>
  </si>
  <si>
    <t>Indenização</t>
  </si>
  <si>
    <t>PDV</t>
  </si>
  <si>
    <t>CARLOS ALBERTO JUNGLES DE CAMARGO</t>
  </si>
  <si>
    <t>SARA EMMANUELLE MARTINS SCARPETTA</t>
  </si>
  <si>
    <t>MAIO/2021</t>
  </si>
  <si>
    <t>ANA PAULA ANBIEL GAIGNER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</si>
</sst>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7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6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0" fillId="4" borderId="11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10" fillId="4" borderId="12" xfId="0" applyFont="1" applyFill="1" applyBorder="1" applyAlignment="1" applyProtection="1">
      <alignment horizontal="left"/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I74" sqref="I74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48" t="s">
        <v>51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9" ht="16.5" x14ac:dyDescent="0.25">
      <c r="B2" s="48" t="s">
        <v>52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9" ht="4.5" customHeight="1" thickBot="1" x14ac:dyDescent="0.3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9" ht="19.5" thickBot="1" x14ac:dyDescent="0.35">
      <c r="B4" s="36" t="s">
        <v>83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x14ac:dyDescent="0.25">
      <c r="B5" s="50" t="s">
        <v>50</v>
      </c>
      <c r="C5" s="52" t="s">
        <v>40</v>
      </c>
      <c r="D5" s="56" t="s">
        <v>66</v>
      </c>
      <c r="E5" s="54" t="s">
        <v>41</v>
      </c>
      <c r="F5" s="54" t="s">
        <v>67</v>
      </c>
      <c r="G5" s="24" t="s">
        <v>68</v>
      </c>
      <c r="H5" s="26" t="s">
        <v>70</v>
      </c>
      <c r="I5" s="5" t="s">
        <v>53</v>
      </c>
      <c r="J5" s="5" t="s">
        <v>79</v>
      </c>
      <c r="K5" s="17" t="s">
        <v>42</v>
      </c>
      <c r="L5" s="54" t="s">
        <v>44</v>
      </c>
      <c r="M5" s="54" t="s">
        <v>45</v>
      </c>
      <c r="N5" s="5" t="s">
        <v>46</v>
      </c>
      <c r="O5" s="5" t="s">
        <v>48</v>
      </c>
      <c r="P5" s="19" t="s">
        <v>42</v>
      </c>
    </row>
    <row r="6" spans="1:19" ht="15.75" thickBot="1" x14ac:dyDescent="0.3">
      <c r="B6" s="51"/>
      <c r="C6" s="53"/>
      <c r="D6" s="57"/>
      <c r="E6" s="55"/>
      <c r="F6" s="55"/>
      <c r="G6" s="25" t="s">
        <v>69</v>
      </c>
      <c r="H6" s="27" t="s">
        <v>55</v>
      </c>
      <c r="I6" s="6" t="s">
        <v>54</v>
      </c>
      <c r="J6" s="6" t="s">
        <v>80</v>
      </c>
      <c r="K6" s="18" t="s">
        <v>43</v>
      </c>
      <c r="L6" s="55"/>
      <c r="M6" s="55"/>
      <c r="N6" s="6" t="s">
        <v>47</v>
      </c>
      <c r="O6" s="6" t="s">
        <v>47</v>
      </c>
      <c r="P6" s="20" t="s">
        <v>49</v>
      </c>
    </row>
    <row r="7" spans="1:19" x14ac:dyDescent="0.25">
      <c r="A7">
        <v>1</v>
      </c>
      <c r="B7" s="13" t="s">
        <v>0</v>
      </c>
      <c r="C7" s="11">
        <v>5359.33</v>
      </c>
      <c r="D7" s="28"/>
      <c r="E7" s="31"/>
      <c r="F7" s="31"/>
      <c r="G7" s="31"/>
      <c r="H7" s="31"/>
      <c r="I7" s="32"/>
      <c r="J7" s="32"/>
      <c r="K7" s="9">
        <f t="shared" ref="K7:K14" si="0">SUM(C7:I7)</f>
        <v>5359.33</v>
      </c>
      <c r="L7" s="3">
        <v>439.02</v>
      </c>
      <c r="M7" s="3">
        <v>601.58000000000004</v>
      </c>
      <c r="N7" s="2">
        <f t="shared" ref="N7:N13" si="1">K7-L7-M7-R7</f>
        <v>41.059999999999491</v>
      </c>
      <c r="O7" s="2">
        <f t="shared" ref="O7:O60" si="2">SUM(L7:N7)</f>
        <v>1081.6599999999994</v>
      </c>
      <c r="P7" s="15">
        <f t="shared" ref="P7:P60" si="3">SUM(K7-O7)</f>
        <v>4277.67</v>
      </c>
      <c r="Q7" s="21"/>
      <c r="R7" s="22">
        <v>4277.67</v>
      </c>
    </row>
    <row r="8" spans="1:19" x14ac:dyDescent="0.25">
      <c r="A8">
        <v>2</v>
      </c>
      <c r="B8" s="13" t="s">
        <v>1</v>
      </c>
      <c r="C8" s="11">
        <v>2482.0100000000002</v>
      </c>
      <c r="D8" s="28"/>
      <c r="E8" s="31"/>
      <c r="F8" s="31"/>
      <c r="G8" s="31"/>
      <c r="H8" s="31"/>
      <c r="I8" s="32"/>
      <c r="J8" s="32"/>
      <c r="K8" s="9">
        <f t="shared" si="0"/>
        <v>2482.0100000000002</v>
      </c>
      <c r="L8" s="3"/>
      <c r="M8" s="3">
        <v>215.23</v>
      </c>
      <c r="N8" s="2">
        <f t="shared" si="1"/>
        <v>1183.5800000000002</v>
      </c>
      <c r="O8" s="2">
        <f t="shared" si="2"/>
        <v>1398.8100000000002</v>
      </c>
      <c r="P8" s="15">
        <f t="shared" si="3"/>
        <v>1083.2</v>
      </c>
      <c r="Q8" s="21"/>
      <c r="R8" s="22">
        <v>1083.2</v>
      </c>
    </row>
    <row r="9" spans="1:19" x14ac:dyDescent="0.25">
      <c r="A9">
        <v>3</v>
      </c>
      <c r="B9" s="13" t="s">
        <v>59</v>
      </c>
      <c r="C9" s="11">
        <f>1826.35+84.79</f>
        <v>1911.1399999999999</v>
      </c>
      <c r="D9" s="28">
        <v>1060</v>
      </c>
      <c r="E9" s="31"/>
      <c r="F9" s="31"/>
      <c r="G9" s="31"/>
      <c r="H9" s="31"/>
      <c r="I9" s="32"/>
      <c r="J9" s="32"/>
      <c r="K9" s="9">
        <f t="shared" si="0"/>
        <v>2971.14</v>
      </c>
      <c r="L9" s="3">
        <v>59.49</v>
      </c>
      <c r="M9" s="3">
        <v>273.92</v>
      </c>
      <c r="N9" s="2">
        <f t="shared" si="1"/>
        <v>96.789999999999964</v>
      </c>
      <c r="O9" s="2">
        <f t="shared" si="2"/>
        <v>430.2</v>
      </c>
      <c r="P9" s="15">
        <f t="shared" si="3"/>
        <v>2540.94</v>
      </c>
      <c r="Q9" s="21"/>
      <c r="R9" s="22">
        <v>2540.94</v>
      </c>
    </row>
    <row r="10" spans="1:19" x14ac:dyDescent="0.25">
      <c r="B10" s="13" t="s">
        <v>84</v>
      </c>
      <c r="C10" s="11">
        <v>2928.48</v>
      </c>
      <c r="D10" s="28">
        <v>585.70000000000005</v>
      </c>
      <c r="E10" s="31"/>
      <c r="F10" s="31"/>
      <c r="G10" s="31"/>
      <c r="H10" s="31"/>
      <c r="I10" s="32"/>
      <c r="J10" s="32"/>
      <c r="K10" s="9">
        <f t="shared" ref="K10" si="4">SUM(C10:I10)</f>
        <v>3514.1800000000003</v>
      </c>
      <c r="L10" s="3">
        <v>120.84</v>
      </c>
      <c r="M10" s="3">
        <v>343.26</v>
      </c>
      <c r="N10" s="2">
        <f t="shared" ref="N10" si="5">K10-L10-M10-R10</f>
        <v>3.7199999999997999</v>
      </c>
      <c r="O10" s="2">
        <f t="shared" ref="O10" si="6">SUM(L10:N10)</f>
        <v>467.81999999999982</v>
      </c>
      <c r="P10" s="15">
        <f t="shared" ref="P10" si="7">SUM(K10-O10)</f>
        <v>3046.3600000000006</v>
      </c>
      <c r="Q10" s="21"/>
      <c r="R10" s="22">
        <v>3046.36</v>
      </c>
    </row>
    <row r="11" spans="1:19" x14ac:dyDescent="0.25">
      <c r="A11">
        <v>4</v>
      </c>
      <c r="B11" s="13" t="s">
        <v>2</v>
      </c>
      <c r="C11" s="11">
        <v>2688.07</v>
      </c>
      <c r="D11" s="28"/>
      <c r="E11" s="31"/>
      <c r="F11" s="31"/>
      <c r="G11" s="31"/>
      <c r="H11" s="31"/>
      <c r="I11" s="32"/>
      <c r="J11" s="32"/>
      <c r="K11" s="9">
        <f t="shared" si="0"/>
        <v>2688.07</v>
      </c>
      <c r="L11" s="3">
        <v>26.59</v>
      </c>
      <c r="M11" s="3">
        <v>239.96</v>
      </c>
      <c r="N11" s="2">
        <f t="shared" si="1"/>
        <v>996.19</v>
      </c>
      <c r="O11" s="2">
        <f t="shared" si="2"/>
        <v>1262.74</v>
      </c>
      <c r="P11" s="15">
        <f>SUM(K11-O11)+H11</f>
        <v>1425.3300000000002</v>
      </c>
      <c r="Q11" s="21"/>
      <c r="R11" s="22">
        <v>1425.33</v>
      </c>
      <c r="S11" s="1"/>
    </row>
    <row r="12" spans="1:19" x14ac:dyDescent="0.25">
      <c r="A12">
        <v>5</v>
      </c>
      <c r="B12" s="13" t="s">
        <v>3</v>
      </c>
      <c r="C12" s="11">
        <v>3617.77</v>
      </c>
      <c r="D12" s="28"/>
      <c r="E12" s="31"/>
      <c r="F12" s="31"/>
      <c r="G12" s="31"/>
      <c r="H12" s="31"/>
      <c r="I12" s="32"/>
      <c r="J12" s="32"/>
      <c r="K12" s="9">
        <f t="shared" si="0"/>
        <v>3617.77</v>
      </c>
      <c r="L12" s="3">
        <v>105.76</v>
      </c>
      <c r="M12" s="3">
        <v>357.76</v>
      </c>
      <c r="N12" s="2">
        <f t="shared" si="1"/>
        <v>1014.1599999999999</v>
      </c>
      <c r="O12" s="2">
        <f t="shared" si="2"/>
        <v>1477.6799999999998</v>
      </c>
      <c r="P12" s="15">
        <f t="shared" si="3"/>
        <v>2140.09</v>
      </c>
      <c r="Q12" s="21"/>
      <c r="R12" s="22">
        <v>2140.09</v>
      </c>
    </row>
    <row r="13" spans="1:19" x14ac:dyDescent="0.25">
      <c r="A13">
        <v>6</v>
      </c>
      <c r="B13" s="13" t="s">
        <v>81</v>
      </c>
      <c r="C13" s="11">
        <v>3993.38</v>
      </c>
      <c r="D13" s="28">
        <v>798.68</v>
      </c>
      <c r="E13" s="31"/>
      <c r="F13" s="31"/>
      <c r="G13" s="31"/>
      <c r="H13" s="31"/>
      <c r="I13" s="32"/>
      <c r="J13" s="32"/>
      <c r="K13" s="9">
        <f t="shared" si="0"/>
        <v>4792.0600000000004</v>
      </c>
      <c r="L13" s="3">
        <v>324.60000000000002</v>
      </c>
      <c r="M13" s="3">
        <v>522.16</v>
      </c>
      <c r="N13" s="2">
        <f t="shared" si="1"/>
        <v>6.1200000000003456</v>
      </c>
      <c r="O13" s="2">
        <f t="shared" si="2"/>
        <v>852.88000000000034</v>
      </c>
      <c r="P13" s="15">
        <f t="shared" si="3"/>
        <v>3939.1800000000003</v>
      </c>
      <c r="Q13" s="21"/>
      <c r="R13" s="22">
        <v>3939.18</v>
      </c>
    </row>
    <row r="14" spans="1:19" x14ac:dyDescent="0.25">
      <c r="A14">
        <v>7</v>
      </c>
      <c r="B14" s="13" t="s">
        <v>4</v>
      </c>
      <c r="C14" s="11">
        <f>11980.55+6110.08</f>
        <v>18090.629999999997</v>
      </c>
      <c r="D14" s="28">
        <f>1198.06+4792.22</f>
        <v>5990.2800000000007</v>
      </c>
      <c r="E14" s="31">
        <v>60</v>
      </c>
      <c r="F14" s="31"/>
      <c r="G14" s="31"/>
      <c r="H14" s="31"/>
      <c r="I14" s="32"/>
      <c r="J14" s="32"/>
      <c r="K14" s="9">
        <f t="shared" si="0"/>
        <v>24140.909999999996</v>
      </c>
      <c r="L14" s="3">
        <v>5562.6</v>
      </c>
      <c r="M14" s="3">
        <v>751.97</v>
      </c>
      <c r="N14" s="2">
        <f>K14-L14-M14-R14</f>
        <v>104.94999999999709</v>
      </c>
      <c r="O14" s="2">
        <f t="shared" si="2"/>
        <v>6419.5199999999977</v>
      </c>
      <c r="P14" s="15">
        <f t="shared" si="3"/>
        <v>17721.39</v>
      </c>
      <c r="Q14" s="21"/>
      <c r="R14" s="22">
        <v>17721.39</v>
      </c>
    </row>
    <row r="15" spans="1:19" x14ac:dyDescent="0.25">
      <c r="A15">
        <v>8</v>
      </c>
      <c r="B15" s="13" t="s">
        <v>5</v>
      </c>
      <c r="C15" s="11">
        <f>3993.52+1230</f>
        <v>5223.5200000000004</v>
      </c>
      <c r="D15" s="28">
        <v>1597.41</v>
      </c>
      <c r="E15" s="31"/>
      <c r="F15" s="31">
        <f>7987.03+2460.01+4547.28+3194.81</f>
        <v>18189.13</v>
      </c>
      <c r="G15" s="31">
        <f>3594.17+1107+2046.28+1437.67</f>
        <v>8185.12</v>
      </c>
      <c r="H15" s="31"/>
      <c r="I15" s="32"/>
      <c r="J15" s="32"/>
      <c r="K15" s="9">
        <f t="shared" ref="K15:K31" si="8">SUM(C15:I15)</f>
        <v>33195.18</v>
      </c>
      <c r="L15" s="3">
        <f>1006.4+3925.86</f>
        <v>4932.26</v>
      </c>
      <c r="M15" s="3">
        <v>751.97</v>
      </c>
      <c r="N15" s="2">
        <f t="shared" ref="N15:N40" si="9">K15-L15-M15-R15</f>
        <v>21803.619999999995</v>
      </c>
      <c r="O15" s="2">
        <f t="shared" si="2"/>
        <v>27487.849999999995</v>
      </c>
      <c r="P15" s="15">
        <f t="shared" si="3"/>
        <v>5707.3300000000054</v>
      </c>
      <c r="Q15" s="21"/>
      <c r="R15" s="22">
        <v>5707.33</v>
      </c>
    </row>
    <row r="16" spans="1:19" x14ac:dyDescent="0.25">
      <c r="A16">
        <v>9</v>
      </c>
      <c r="B16" s="13" t="s">
        <v>6</v>
      </c>
      <c r="C16" s="11">
        <v>2456.08</v>
      </c>
      <c r="D16" s="28"/>
      <c r="E16" s="31"/>
      <c r="H16" s="31"/>
      <c r="I16" s="32"/>
      <c r="J16" s="32"/>
      <c r="K16" s="9">
        <f t="shared" si="8"/>
        <v>2456.08</v>
      </c>
      <c r="L16" s="3">
        <v>25.5</v>
      </c>
      <c r="M16" s="3">
        <v>212.12</v>
      </c>
      <c r="N16" s="2">
        <f t="shared" si="9"/>
        <v>17.490000000000236</v>
      </c>
      <c r="O16" s="2">
        <f t="shared" si="2"/>
        <v>255.11000000000024</v>
      </c>
      <c r="P16" s="15">
        <f t="shared" si="3"/>
        <v>2200.9699999999998</v>
      </c>
      <c r="Q16" s="21"/>
      <c r="R16" s="22">
        <v>2200.9699999999998</v>
      </c>
    </row>
    <row r="17" spans="1:18" x14ac:dyDescent="0.25">
      <c r="A17">
        <v>10</v>
      </c>
      <c r="B17" s="13" t="s">
        <v>7</v>
      </c>
      <c r="C17" s="11">
        <v>2243.8200000000002</v>
      </c>
      <c r="D17" s="28"/>
      <c r="E17" s="31"/>
      <c r="F17" s="31"/>
      <c r="G17" s="31"/>
      <c r="H17" s="31"/>
      <c r="I17" s="32"/>
      <c r="J17" s="32"/>
      <c r="K17" s="9">
        <f t="shared" si="8"/>
        <v>2243.8200000000002</v>
      </c>
      <c r="L17" s="3">
        <v>11.54</v>
      </c>
      <c r="M17" s="3">
        <v>186.74</v>
      </c>
      <c r="N17" s="2">
        <f t="shared" si="9"/>
        <v>17.300000000000182</v>
      </c>
      <c r="O17" s="2">
        <f t="shared" si="2"/>
        <v>215.58000000000018</v>
      </c>
      <c r="P17" s="15">
        <f t="shared" si="3"/>
        <v>2028.24</v>
      </c>
      <c r="Q17" s="21"/>
      <c r="R17" s="22">
        <v>2028.24</v>
      </c>
    </row>
    <row r="18" spans="1:18" x14ac:dyDescent="0.25">
      <c r="A18">
        <v>11</v>
      </c>
      <c r="B18" s="13" t="s">
        <v>62</v>
      </c>
      <c r="C18" s="11">
        <v>2722.96</v>
      </c>
      <c r="D18" s="28"/>
      <c r="E18" s="31"/>
      <c r="F18" s="31"/>
      <c r="G18" s="31"/>
      <c r="H18" s="31"/>
      <c r="I18" s="32"/>
      <c r="J18" s="32"/>
      <c r="K18" s="9">
        <f t="shared" si="8"/>
        <v>2722.96</v>
      </c>
      <c r="L18" s="3">
        <v>28.89</v>
      </c>
      <c r="M18" s="3">
        <v>244.14</v>
      </c>
      <c r="N18" s="2">
        <f t="shared" si="9"/>
        <v>251.00000000000045</v>
      </c>
      <c r="O18" s="2">
        <f t="shared" si="2"/>
        <v>524.03000000000043</v>
      </c>
      <c r="P18" s="15">
        <f t="shared" si="3"/>
        <v>2198.9299999999994</v>
      </c>
      <c r="Q18" s="21"/>
      <c r="R18" s="22">
        <v>2198.9299999999998</v>
      </c>
    </row>
    <row r="19" spans="1:18" x14ac:dyDescent="0.25">
      <c r="A19">
        <v>12</v>
      </c>
      <c r="B19" s="13" t="s">
        <v>8</v>
      </c>
      <c r="C19" s="11">
        <f>5026.06+985.11</f>
        <v>6011.17</v>
      </c>
      <c r="D19" s="28">
        <v>2010.42</v>
      </c>
      <c r="E19" s="31"/>
      <c r="F19" s="31"/>
      <c r="G19" s="31"/>
      <c r="H19" s="31"/>
      <c r="I19" s="32"/>
      <c r="J19" s="32"/>
      <c r="K19" s="9">
        <f t="shared" si="8"/>
        <v>8021.59</v>
      </c>
      <c r="L19" s="3">
        <v>973.37</v>
      </c>
      <c r="M19" s="3">
        <v>751.97</v>
      </c>
      <c r="N19" s="2">
        <f t="shared" si="9"/>
        <v>513.89999999999964</v>
      </c>
      <c r="O19" s="2">
        <f t="shared" si="2"/>
        <v>2239.2399999999998</v>
      </c>
      <c r="P19" s="15">
        <f t="shared" si="3"/>
        <v>5782.35</v>
      </c>
      <c r="Q19" s="21"/>
      <c r="R19" s="22">
        <v>5782.35</v>
      </c>
    </row>
    <row r="20" spans="1:18" x14ac:dyDescent="0.25">
      <c r="A20">
        <v>13</v>
      </c>
      <c r="B20" s="13" t="s">
        <v>9</v>
      </c>
      <c r="C20" s="11">
        <v>2478.8200000000002</v>
      </c>
      <c r="D20" s="28"/>
      <c r="E20" s="31"/>
      <c r="F20" s="31"/>
      <c r="G20" s="31"/>
      <c r="H20" s="31"/>
      <c r="I20" s="32"/>
      <c r="J20" s="32"/>
      <c r="K20" s="9">
        <f t="shared" si="8"/>
        <v>2478.8200000000002</v>
      </c>
      <c r="L20" s="3">
        <v>27</v>
      </c>
      <c r="M20" s="3">
        <v>214.85</v>
      </c>
      <c r="N20" s="2">
        <f t="shared" si="9"/>
        <v>6.1200000000003456</v>
      </c>
      <c r="O20" s="2">
        <f t="shared" si="2"/>
        <v>247.97000000000034</v>
      </c>
      <c r="P20" s="15">
        <f t="shared" si="3"/>
        <v>2230.85</v>
      </c>
      <c r="Q20" s="21"/>
      <c r="R20" s="22">
        <v>2230.85</v>
      </c>
    </row>
    <row r="21" spans="1:18" x14ac:dyDescent="0.25">
      <c r="A21">
        <v>14</v>
      </c>
      <c r="B21" s="13" t="s">
        <v>10</v>
      </c>
      <c r="C21" s="11">
        <f>10569.62+5961.27</f>
        <v>16530.89</v>
      </c>
      <c r="D21" s="28">
        <v>14268.99</v>
      </c>
      <c r="E21" s="31"/>
      <c r="F21" s="31">
        <f>3567.24+2642.4+1490.31+2566.65</f>
        <v>10266.599999999999</v>
      </c>
      <c r="G21" s="31">
        <f>3567.25+2642.41+1490.32+2566.66</f>
        <v>10266.64</v>
      </c>
      <c r="H21" s="31"/>
      <c r="I21" s="32"/>
      <c r="J21" s="32"/>
      <c r="K21" s="9">
        <f t="shared" si="8"/>
        <v>51333.119999999995</v>
      </c>
      <c r="L21" s="3">
        <f>7600.61+1747.16</f>
        <v>9347.77</v>
      </c>
      <c r="M21" s="3">
        <v>751.97</v>
      </c>
      <c r="N21" s="2">
        <f t="shared" si="9"/>
        <v>18319.409999999989</v>
      </c>
      <c r="O21" s="2">
        <f t="shared" si="2"/>
        <v>28419.149999999987</v>
      </c>
      <c r="P21" s="15">
        <f t="shared" si="3"/>
        <v>22913.970000000008</v>
      </c>
      <c r="Q21" s="21"/>
      <c r="R21" s="22">
        <v>22913.97</v>
      </c>
    </row>
    <row r="22" spans="1:18" x14ac:dyDescent="0.25">
      <c r="A22">
        <v>15</v>
      </c>
      <c r="B22" s="13" t="s">
        <v>11</v>
      </c>
      <c r="C22" s="11">
        <f>11980.55+3881.7</f>
        <v>15862.25</v>
      </c>
      <c r="D22" s="28">
        <v>2396.11</v>
      </c>
      <c r="E22" s="31"/>
      <c r="F22" s="31"/>
      <c r="G22" s="31"/>
      <c r="H22" s="31"/>
      <c r="I22" s="32"/>
      <c r="J22" s="32"/>
      <c r="K22" s="9">
        <f t="shared" si="8"/>
        <v>18258.36</v>
      </c>
      <c r="L22" s="3">
        <v>3892.76</v>
      </c>
      <c r="M22" s="3">
        <v>751.97</v>
      </c>
      <c r="N22" s="2">
        <f t="shared" si="9"/>
        <v>2265.4900000000016</v>
      </c>
      <c r="O22" s="2">
        <f t="shared" si="2"/>
        <v>6910.2200000000021</v>
      </c>
      <c r="P22" s="15">
        <f t="shared" si="3"/>
        <v>11348.14</v>
      </c>
      <c r="Q22" s="21"/>
      <c r="R22" s="22">
        <v>11348.14</v>
      </c>
    </row>
    <row r="23" spans="1:18" x14ac:dyDescent="0.25">
      <c r="A23">
        <v>16</v>
      </c>
      <c r="B23" s="13" t="s">
        <v>12</v>
      </c>
      <c r="C23" s="11">
        <v>6416.48</v>
      </c>
      <c r="D23" s="28"/>
      <c r="E23" s="31"/>
      <c r="F23" s="31"/>
      <c r="G23" s="31"/>
      <c r="H23" s="31"/>
      <c r="I23" s="32"/>
      <c r="J23" s="32"/>
      <c r="K23" s="9">
        <f t="shared" si="8"/>
        <v>6416.48</v>
      </c>
      <c r="L23" s="3">
        <v>584.76</v>
      </c>
      <c r="M23" s="3">
        <v>749.58</v>
      </c>
      <c r="N23" s="2">
        <f t="shared" si="9"/>
        <v>1321.1599999999994</v>
      </c>
      <c r="O23" s="2">
        <f t="shared" si="2"/>
        <v>2655.4999999999995</v>
      </c>
      <c r="P23" s="15">
        <f t="shared" si="3"/>
        <v>3760.98</v>
      </c>
      <c r="Q23" s="21"/>
      <c r="R23" s="22">
        <v>3760.98</v>
      </c>
    </row>
    <row r="24" spans="1:18" x14ac:dyDescent="0.25">
      <c r="A24">
        <v>17</v>
      </c>
      <c r="B24" s="13" t="s">
        <v>78</v>
      </c>
      <c r="C24" s="11">
        <v>1755.42</v>
      </c>
      <c r="D24" s="28"/>
      <c r="E24" s="31"/>
      <c r="F24" s="31"/>
      <c r="G24" s="31"/>
      <c r="H24" s="31"/>
      <c r="I24" s="32"/>
      <c r="J24" s="32"/>
      <c r="K24" s="9">
        <f t="shared" si="8"/>
        <v>1755.42</v>
      </c>
      <c r="L24" s="3"/>
      <c r="M24" s="3">
        <v>141.47999999999999</v>
      </c>
      <c r="N24" s="2">
        <f t="shared" ref="N24" si="10">K24-L24-M24-R24</f>
        <v>6.1200000000001182</v>
      </c>
      <c r="O24" s="2">
        <f t="shared" ref="O24" si="11">SUM(L24:N24)</f>
        <v>147.60000000000011</v>
      </c>
      <c r="P24" s="15">
        <f t="shared" ref="P24" si="12">SUM(K24-O24)</f>
        <v>1607.82</v>
      </c>
      <c r="Q24" s="21"/>
      <c r="R24" s="22">
        <v>1607.82</v>
      </c>
    </row>
    <row r="25" spans="1:18" x14ac:dyDescent="0.25">
      <c r="A25">
        <v>18</v>
      </c>
      <c r="B25" s="13" t="s">
        <v>56</v>
      </c>
      <c r="C25" s="11">
        <v>2860.75</v>
      </c>
      <c r="D25" s="28"/>
      <c r="E25" s="31">
        <v>60</v>
      </c>
      <c r="F25" s="31"/>
      <c r="G25" s="31"/>
      <c r="H25" s="31"/>
      <c r="I25" s="32"/>
      <c r="J25" s="32"/>
      <c r="K25" s="9">
        <f t="shared" si="8"/>
        <v>2920.75</v>
      </c>
      <c r="L25" s="3">
        <v>56.17</v>
      </c>
      <c r="M25" s="3">
        <v>267.88</v>
      </c>
      <c r="N25" s="2">
        <f t="shared" si="9"/>
        <v>104.73999999999978</v>
      </c>
      <c r="O25" s="2">
        <f t="shared" si="2"/>
        <v>428.78999999999979</v>
      </c>
      <c r="P25" s="15">
        <f t="shared" si="3"/>
        <v>2491.96</v>
      </c>
      <c r="Q25" s="21"/>
      <c r="R25" s="22">
        <v>2491.96</v>
      </c>
    </row>
    <row r="26" spans="1:18" x14ac:dyDescent="0.25">
      <c r="A26">
        <v>19</v>
      </c>
      <c r="B26" s="13" t="s">
        <v>13</v>
      </c>
      <c r="C26" s="11">
        <f>6788.98+2199.63</f>
        <v>8988.61</v>
      </c>
      <c r="D26" s="28">
        <v>1357.8</v>
      </c>
      <c r="E26" s="31"/>
      <c r="F26" s="31">
        <f>1038.31+5191.57+1682.07+2637.31</f>
        <v>10549.259999999998</v>
      </c>
      <c r="G26" s="31"/>
      <c r="H26" s="31"/>
      <c r="I26" s="32"/>
      <c r="J26" s="32"/>
      <c r="K26" s="9">
        <f t="shared" si="8"/>
        <v>20895.669999999998</v>
      </c>
      <c r="L26" s="3">
        <f>1909+1995.92</f>
        <v>3904.92</v>
      </c>
      <c r="M26" s="3">
        <v>751.97</v>
      </c>
      <c r="N26" s="2">
        <f t="shared" si="9"/>
        <v>10642.78</v>
      </c>
      <c r="O26" s="2">
        <f t="shared" si="2"/>
        <v>15299.670000000002</v>
      </c>
      <c r="P26" s="15">
        <f t="shared" si="3"/>
        <v>5595.9999999999964</v>
      </c>
      <c r="Q26" s="21"/>
      <c r="R26" s="22">
        <v>5596</v>
      </c>
    </row>
    <row r="27" spans="1:18" x14ac:dyDescent="0.25">
      <c r="A27">
        <v>20</v>
      </c>
      <c r="B27" s="13" t="s">
        <v>14</v>
      </c>
      <c r="C27" s="11">
        <v>6781.65</v>
      </c>
      <c r="D27" s="28"/>
      <c r="E27" s="31"/>
      <c r="F27" s="31"/>
      <c r="G27" s="31"/>
      <c r="H27" s="31"/>
      <c r="I27" s="32"/>
      <c r="J27" s="32"/>
      <c r="K27" s="9">
        <f t="shared" si="8"/>
        <v>6781.65</v>
      </c>
      <c r="L27" s="3">
        <v>684.53</v>
      </c>
      <c r="M27" s="3">
        <f>655.12+96.85</f>
        <v>751.97</v>
      </c>
      <c r="N27" s="2">
        <f t="shared" si="9"/>
        <v>6.1199999999998909</v>
      </c>
      <c r="O27" s="2">
        <f t="shared" si="2"/>
        <v>1442.62</v>
      </c>
      <c r="P27" s="15">
        <f>SUM(K27-O27)+H27</f>
        <v>5339.03</v>
      </c>
      <c r="Q27" s="21"/>
      <c r="R27" s="22">
        <v>5339.03</v>
      </c>
    </row>
    <row r="28" spans="1:18" x14ac:dyDescent="0.25">
      <c r="A28">
        <v>21</v>
      </c>
      <c r="B28" s="13" t="s">
        <v>15</v>
      </c>
      <c r="C28" s="11">
        <v>7496.45</v>
      </c>
      <c r="D28" s="28"/>
      <c r="E28" s="31"/>
      <c r="F28" s="31"/>
      <c r="G28" s="31"/>
      <c r="H28" s="31"/>
      <c r="I28" s="32"/>
      <c r="J28" s="32"/>
      <c r="K28" s="9">
        <f t="shared" si="8"/>
        <v>7496.45</v>
      </c>
      <c r="L28" s="3">
        <v>985.37</v>
      </c>
      <c r="M28" s="3">
        <f>384.75+367.22</f>
        <v>751.97</v>
      </c>
      <c r="N28" s="2">
        <f t="shared" si="9"/>
        <v>6.1199999999998909</v>
      </c>
      <c r="O28" s="2">
        <f t="shared" si="2"/>
        <v>1743.46</v>
      </c>
      <c r="P28" s="15">
        <f t="shared" si="3"/>
        <v>5752.99</v>
      </c>
      <c r="Q28" s="21"/>
      <c r="R28" s="22">
        <v>5752.99</v>
      </c>
    </row>
    <row r="29" spans="1:18" x14ac:dyDescent="0.25">
      <c r="A29">
        <v>22</v>
      </c>
      <c r="B29" s="13" t="s">
        <v>16</v>
      </c>
      <c r="C29" s="11">
        <v>2384.4</v>
      </c>
      <c r="D29" s="28"/>
      <c r="E29" s="31"/>
      <c r="F29" s="31"/>
      <c r="G29" s="31"/>
      <c r="H29" s="31"/>
      <c r="I29" s="32"/>
      <c r="J29" s="32"/>
      <c r="K29" s="9">
        <f t="shared" si="8"/>
        <v>2384.4</v>
      </c>
      <c r="L29" s="3">
        <v>20.059999999999999</v>
      </c>
      <c r="M29" s="3">
        <v>202.23</v>
      </c>
      <c r="N29" s="2">
        <f t="shared" si="9"/>
        <v>785.08000000000015</v>
      </c>
      <c r="O29" s="2">
        <f t="shared" si="2"/>
        <v>1007.3700000000001</v>
      </c>
      <c r="P29" s="15">
        <f t="shared" si="3"/>
        <v>1377.03</v>
      </c>
      <c r="Q29" s="21"/>
      <c r="R29" s="22">
        <v>1377.03</v>
      </c>
    </row>
    <row r="30" spans="1:18" x14ac:dyDescent="0.25">
      <c r="A30">
        <v>23</v>
      </c>
      <c r="B30" s="13" t="s">
        <v>17</v>
      </c>
      <c r="C30" s="11">
        <v>5406.45</v>
      </c>
      <c r="D30" s="28">
        <v>1000</v>
      </c>
      <c r="E30" s="31"/>
      <c r="F30" s="31"/>
      <c r="G30" s="31"/>
      <c r="H30" s="31"/>
      <c r="I30" s="32"/>
      <c r="J30" s="32"/>
      <c r="K30" s="9">
        <f t="shared" si="8"/>
        <v>6406.45</v>
      </c>
      <c r="L30" s="3">
        <v>582.39</v>
      </c>
      <c r="M30" s="3">
        <v>748.18</v>
      </c>
      <c r="N30" s="2">
        <f t="shared" si="9"/>
        <v>667.89999999999964</v>
      </c>
      <c r="O30" s="2">
        <f t="shared" si="2"/>
        <v>1998.4699999999996</v>
      </c>
      <c r="P30" s="15">
        <f t="shared" si="3"/>
        <v>4407.9800000000005</v>
      </c>
      <c r="Q30" s="21"/>
      <c r="R30" s="22">
        <v>4407.9799999999996</v>
      </c>
    </row>
    <row r="31" spans="1:18" x14ac:dyDescent="0.25">
      <c r="A31">
        <v>24</v>
      </c>
      <c r="B31" s="13" t="s">
        <v>18</v>
      </c>
      <c r="C31" s="11">
        <v>6214.68</v>
      </c>
      <c r="D31" s="28"/>
      <c r="E31" s="31"/>
      <c r="F31" s="31"/>
      <c r="G31" s="31"/>
      <c r="H31" s="31"/>
      <c r="I31" s="32"/>
      <c r="J31" s="32"/>
      <c r="K31" s="9">
        <f t="shared" si="8"/>
        <v>6214.68</v>
      </c>
      <c r="L31" s="3">
        <v>637.29</v>
      </c>
      <c r="M31" s="3">
        <v>718.95</v>
      </c>
      <c r="N31" s="2">
        <f t="shared" si="9"/>
        <v>254.04000000000087</v>
      </c>
      <c r="O31" s="2">
        <f t="shared" si="2"/>
        <v>1610.2800000000009</v>
      </c>
      <c r="P31" s="15">
        <f t="shared" si="3"/>
        <v>4604.3999999999996</v>
      </c>
      <c r="Q31" s="21"/>
      <c r="R31" s="22">
        <v>4604.3999999999996</v>
      </c>
    </row>
    <row r="32" spans="1:18" x14ac:dyDescent="0.25">
      <c r="A32">
        <v>25</v>
      </c>
      <c r="B32" s="13" t="s">
        <v>60</v>
      </c>
      <c r="C32" s="11">
        <v>4574.49</v>
      </c>
      <c r="D32" s="28"/>
      <c r="E32" s="31"/>
      <c r="F32" s="31"/>
      <c r="G32" s="31"/>
      <c r="H32" s="31"/>
      <c r="I32" s="32"/>
      <c r="J32" s="32"/>
      <c r="K32" s="9">
        <f>SUM(C32:I32)</f>
        <v>4574.49</v>
      </c>
      <c r="L32" s="3">
        <v>282.5</v>
      </c>
      <c r="M32" s="3">
        <v>491.7</v>
      </c>
      <c r="N32" s="2">
        <f t="shared" ref="N32" si="13">K32-L32-M32-R32</f>
        <v>41.059999999999945</v>
      </c>
      <c r="O32" s="2">
        <f t="shared" ref="O32" si="14">SUM(L32:N32)</f>
        <v>815.26</v>
      </c>
      <c r="P32" s="15">
        <f>SUM(K32-O32)+H32</f>
        <v>3759.2299999999996</v>
      </c>
      <c r="Q32" s="21"/>
      <c r="R32" s="22">
        <v>3759.23</v>
      </c>
    </row>
    <row r="33" spans="1:18" x14ac:dyDescent="0.25">
      <c r="A33">
        <v>26</v>
      </c>
      <c r="B33" s="13" t="s">
        <v>19</v>
      </c>
      <c r="C33" s="11">
        <v>2079.8200000000002</v>
      </c>
      <c r="D33" s="28"/>
      <c r="E33" s="31"/>
      <c r="F33" s="31"/>
      <c r="G33" s="31"/>
      <c r="H33" s="31"/>
      <c r="I33" s="32"/>
      <c r="J33" s="32"/>
      <c r="K33" s="9">
        <f>SUM(C33:I33)</f>
        <v>2079.8200000000002</v>
      </c>
      <c r="L33" s="3"/>
      <c r="M33" s="3">
        <v>170.49</v>
      </c>
      <c r="N33" s="2">
        <f t="shared" si="9"/>
        <v>111.42000000000007</v>
      </c>
      <c r="O33" s="2">
        <f t="shared" si="2"/>
        <v>281.91000000000008</v>
      </c>
      <c r="P33" s="15">
        <f>SUM(K33-O33)+H33</f>
        <v>1797.91</v>
      </c>
      <c r="Q33" s="21"/>
      <c r="R33" s="22">
        <v>1797.91</v>
      </c>
    </row>
    <row r="34" spans="1:18" x14ac:dyDescent="0.25">
      <c r="A34">
        <v>27</v>
      </c>
      <c r="B34" s="13" t="s">
        <v>20</v>
      </c>
      <c r="C34" s="11">
        <f>5021.09+723.04</f>
        <v>5744.13</v>
      </c>
      <c r="D34" s="28">
        <v>1004.22</v>
      </c>
      <c r="E34" s="31"/>
      <c r="F34" s="31"/>
      <c r="G34" s="31"/>
      <c r="H34" s="31"/>
      <c r="I34" s="32"/>
      <c r="J34" s="32"/>
      <c r="K34" s="9">
        <f>SUM(C34:I34)</f>
        <v>6748.35</v>
      </c>
      <c r="L34" s="3">
        <v>779.64</v>
      </c>
      <c r="M34" s="3">
        <f>312.84+439.13</f>
        <v>751.97</v>
      </c>
      <c r="N34" s="2">
        <f t="shared" si="9"/>
        <v>66.059999999999491</v>
      </c>
      <c r="O34" s="2">
        <f t="shared" si="2"/>
        <v>1597.6699999999996</v>
      </c>
      <c r="P34" s="15">
        <f t="shared" si="3"/>
        <v>5150.68</v>
      </c>
      <c r="Q34" s="21"/>
      <c r="R34" s="22">
        <v>5150.68</v>
      </c>
    </row>
    <row r="35" spans="1:18" x14ac:dyDescent="0.25">
      <c r="A35">
        <v>28</v>
      </c>
      <c r="B35" s="13" t="s">
        <v>21</v>
      </c>
      <c r="C35" s="11">
        <f>11980.55+3450.4</f>
        <v>15430.949999999999</v>
      </c>
      <c r="D35" s="28">
        <v>2396.11</v>
      </c>
      <c r="E35" s="31"/>
      <c r="F35" s="31"/>
      <c r="G35" s="31"/>
      <c r="H35" s="31"/>
      <c r="I35" s="32"/>
      <c r="J35" s="32"/>
      <c r="K35" s="9">
        <f t="shared" ref="K35:K40" si="15">SUM(C35:I35)</f>
        <v>17827.059999999998</v>
      </c>
      <c r="L35" s="3">
        <v>3774.15</v>
      </c>
      <c r="M35" s="3">
        <v>751.97</v>
      </c>
      <c r="N35" s="2">
        <f t="shared" si="9"/>
        <v>6.1199999999989814</v>
      </c>
      <c r="O35" s="2">
        <f t="shared" si="2"/>
        <v>4532.2399999999989</v>
      </c>
      <c r="P35" s="15">
        <f t="shared" si="3"/>
        <v>13294.82</v>
      </c>
      <c r="Q35" s="21"/>
      <c r="R35" s="22">
        <v>13294.82</v>
      </c>
    </row>
    <row r="36" spans="1:18" x14ac:dyDescent="0.25">
      <c r="A36">
        <v>29</v>
      </c>
      <c r="B36" s="13" t="s">
        <v>61</v>
      </c>
      <c r="C36" s="11">
        <f>4927.52+650.43</f>
        <v>5577.9500000000007</v>
      </c>
      <c r="D36" s="28">
        <v>985.5</v>
      </c>
      <c r="E36" s="31"/>
      <c r="F36" s="31"/>
      <c r="G36" s="31"/>
      <c r="H36" s="31"/>
      <c r="I36" s="32"/>
      <c r="J36" s="32"/>
      <c r="K36" s="9">
        <f t="shared" si="15"/>
        <v>6563.4500000000007</v>
      </c>
      <c r="L36" s="3">
        <v>728.8</v>
      </c>
      <c r="M36" s="3">
        <f>584.7+167.27</f>
        <v>751.97</v>
      </c>
      <c r="N36" s="2">
        <f t="shared" si="9"/>
        <v>197.51000000000022</v>
      </c>
      <c r="O36" s="2">
        <f t="shared" si="2"/>
        <v>1678.2800000000002</v>
      </c>
      <c r="P36" s="15">
        <f t="shared" si="3"/>
        <v>4885.17</v>
      </c>
      <c r="Q36" s="21"/>
      <c r="R36" s="22">
        <v>4885.17</v>
      </c>
    </row>
    <row r="37" spans="1:18" x14ac:dyDescent="0.25">
      <c r="A37">
        <v>30</v>
      </c>
      <c r="B37" s="13" t="s">
        <v>22</v>
      </c>
      <c r="C37" s="11">
        <f>4657.65+391.24</f>
        <v>5048.8899999999994</v>
      </c>
      <c r="D37" s="28">
        <v>931.53</v>
      </c>
      <c r="E37" s="31"/>
      <c r="F37" s="31"/>
      <c r="G37" s="31"/>
      <c r="H37" s="31"/>
      <c r="I37" s="32"/>
      <c r="J37" s="32"/>
      <c r="K37" s="9">
        <f t="shared" si="15"/>
        <v>5980.4199999999992</v>
      </c>
      <c r="L37" s="3">
        <v>481.64</v>
      </c>
      <c r="M37" s="3">
        <v>688.53</v>
      </c>
      <c r="N37" s="2">
        <f t="shared" si="9"/>
        <v>1699.7299999999991</v>
      </c>
      <c r="O37" s="2">
        <f t="shared" si="2"/>
        <v>2869.8999999999992</v>
      </c>
      <c r="P37" s="15">
        <f>SUM(K37-O37)+H37</f>
        <v>3110.52</v>
      </c>
      <c r="Q37" s="21"/>
      <c r="R37" s="22">
        <v>3110.52</v>
      </c>
    </row>
    <row r="38" spans="1:18" x14ac:dyDescent="0.25">
      <c r="A38">
        <v>31</v>
      </c>
      <c r="B38" s="13" t="s">
        <v>58</v>
      </c>
      <c r="C38" s="11">
        <v>1881.14</v>
      </c>
      <c r="D38" s="28"/>
      <c r="E38" s="31"/>
      <c r="F38" s="31"/>
      <c r="G38" s="31"/>
      <c r="H38" s="31"/>
      <c r="I38" s="32"/>
      <c r="J38" s="32"/>
      <c r="K38" s="9">
        <f t="shared" si="15"/>
        <v>1881.14</v>
      </c>
      <c r="L38" s="3"/>
      <c r="M38" s="3">
        <v>152.80000000000001</v>
      </c>
      <c r="N38" s="2">
        <f t="shared" ref="N38" si="16">K38-L38-M38-R38</f>
        <v>15.250000000000227</v>
      </c>
      <c r="O38" s="2">
        <f t="shared" ref="O38" si="17">SUM(L38:N38)</f>
        <v>168.05000000000024</v>
      </c>
      <c r="P38" s="15">
        <f t="shared" ref="P38" si="18">SUM(K38-O38)</f>
        <v>1713.09</v>
      </c>
      <c r="Q38" s="21"/>
      <c r="R38" s="22">
        <v>1713.09</v>
      </c>
    </row>
    <row r="39" spans="1:18" x14ac:dyDescent="0.25">
      <c r="A39">
        <v>32</v>
      </c>
      <c r="B39" s="13" t="s">
        <v>23</v>
      </c>
      <c r="C39" s="11">
        <v>3042.68</v>
      </c>
      <c r="D39" s="28"/>
      <c r="E39" s="31"/>
      <c r="F39" s="31"/>
      <c r="G39" s="31"/>
      <c r="H39" s="31"/>
      <c r="I39" s="32"/>
      <c r="J39" s="32"/>
      <c r="K39" s="9">
        <f t="shared" si="15"/>
        <v>3042.68</v>
      </c>
      <c r="L39" s="3">
        <v>64.209999999999994</v>
      </c>
      <c r="M39" s="3">
        <v>282.51</v>
      </c>
      <c r="N39" s="2">
        <f t="shared" si="9"/>
        <v>841.95</v>
      </c>
      <c r="O39" s="2">
        <f t="shared" si="2"/>
        <v>1188.67</v>
      </c>
      <c r="P39" s="15">
        <f t="shared" si="3"/>
        <v>1854.0099999999998</v>
      </c>
      <c r="Q39" s="21"/>
      <c r="R39" s="22">
        <v>1854.01</v>
      </c>
    </row>
    <row r="40" spans="1:18" x14ac:dyDescent="0.25">
      <c r="A40">
        <v>33</v>
      </c>
      <c r="B40" s="13" t="s">
        <v>24</v>
      </c>
      <c r="C40" s="11">
        <f>11980.55+3737.93</f>
        <v>15718.48</v>
      </c>
      <c r="D40" s="28">
        <v>2396.11</v>
      </c>
      <c r="E40" s="31"/>
      <c r="F40" s="31"/>
      <c r="G40" s="31"/>
      <c r="H40" s="31"/>
      <c r="I40" s="32"/>
      <c r="J40" s="32"/>
      <c r="K40" s="9">
        <f t="shared" si="15"/>
        <v>18114.59</v>
      </c>
      <c r="L40" s="3">
        <v>3801.09</v>
      </c>
      <c r="M40" s="3">
        <v>751.97</v>
      </c>
      <c r="N40" s="2">
        <f t="shared" si="9"/>
        <v>79.1200000000008</v>
      </c>
      <c r="O40" s="2">
        <f t="shared" si="2"/>
        <v>4632.1800000000012</v>
      </c>
      <c r="P40" s="15">
        <f t="shared" si="3"/>
        <v>13482.41</v>
      </c>
      <c r="Q40" s="21"/>
      <c r="R40" s="22">
        <v>13482.41</v>
      </c>
    </row>
    <row r="41" spans="1:18" x14ac:dyDescent="0.25">
      <c r="A41">
        <v>34</v>
      </c>
      <c r="B41" s="38" t="s">
        <v>25</v>
      </c>
      <c r="C41" s="39">
        <v>2069.3000000000002</v>
      </c>
      <c r="D41" s="29"/>
      <c r="E41" s="40"/>
      <c r="F41" s="40"/>
      <c r="G41" s="40"/>
      <c r="H41" s="40"/>
      <c r="I41" s="37"/>
      <c r="J41" s="37"/>
      <c r="K41" s="41">
        <f t="shared" ref="K41:K49" si="19">SUM(C41:I41)</f>
        <v>2069.3000000000002</v>
      </c>
      <c r="L41" s="42"/>
      <c r="M41" s="42">
        <v>169.73</v>
      </c>
      <c r="N41" s="43">
        <f t="shared" ref="N41:N60" si="20">K41-L41-M41-R41</f>
        <v>854.23000000000025</v>
      </c>
      <c r="O41" s="43">
        <f t="shared" si="2"/>
        <v>1023.9600000000003</v>
      </c>
      <c r="P41" s="44">
        <f t="shared" si="3"/>
        <v>1045.3399999999999</v>
      </c>
      <c r="Q41" s="21"/>
      <c r="R41" s="22">
        <v>1045.3399999999999</v>
      </c>
    </row>
    <row r="42" spans="1:18" x14ac:dyDescent="0.25">
      <c r="A42">
        <v>35</v>
      </c>
      <c r="B42" s="13" t="s">
        <v>26</v>
      </c>
      <c r="C42" s="11">
        <v>4225.22</v>
      </c>
      <c r="D42" s="28">
        <v>50</v>
      </c>
      <c r="E42" s="31"/>
      <c r="F42" s="31"/>
      <c r="G42" s="31"/>
      <c r="H42" s="31"/>
      <c r="I42" s="33"/>
      <c r="J42" s="33"/>
      <c r="K42" s="9">
        <f t="shared" si="19"/>
        <v>4275.22</v>
      </c>
      <c r="L42" s="3">
        <v>224.59</v>
      </c>
      <c r="M42" s="3">
        <v>449.81</v>
      </c>
      <c r="N42" s="2">
        <f t="shared" si="20"/>
        <v>450.19000000000005</v>
      </c>
      <c r="O42" s="2">
        <f t="shared" si="2"/>
        <v>1124.5900000000001</v>
      </c>
      <c r="P42" s="15">
        <f t="shared" si="3"/>
        <v>3150.63</v>
      </c>
      <c r="Q42" s="21"/>
      <c r="R42" s="22">
        <v>3150.63</v>
      </c>
    </row>
    <row r="43" spans="1:18" x14ac:dyDescent="0.25">
      <c r="A43">
        <v>36</v>
      </c>
      <c r="B43" s="13" t="s">
        <v>27</v>
      </c>
      <c r="C43" s="11">
        <f>7858.53+1100.19</f>
        <v>8958.7199999999993</v>
      </c>
      <c r="D43" s="28"/>
      <c r="E43" s="31"/>
      <c r="F43" s="31"/>
      <c r="G43" s="31"/>
      <c r="H43" s="31"/>
      <c r="I43" s="33">
        <v>9324.93</v>
      </c>
      <c r="J43" s="33"/>
      <c r="K43" s="9">
        <f t="shared" si="19"/>
        <v>18283.650000000001</v>
      </c>
      <c r="L43" s="3">
        <v>3899.71</v>
      </c>
      <c r="M43" s="3">
        <f>38.89+713.08</f>
        <v>751.97</v>
      </c>
      <c r="N43" s="2">
        <f t="shared" si="20"/>
        <v>675.94000000000233</v>
      </c>
      <c r="O43" s="2">
        <f t="shared" si="2"/>
        <v>5327.6200000000026</v>
      </c>
      <c r="P43" s="15">
        <f t="shared" si="3"/>
        <v>12956.029999999999</v>
      </c>
      <c r="Q43" s="21"/>
      <c r="R43" s="22">
        <v>12956.03</v>
      </c>
    </row>
    <row r="44" spans="1:18" x14ac:dyDescent="0.25">
      <c r="A44">
        <v>37</v>
      </c>
      <c r="B44" s="13" t="s">
        <v>28</v>
      </c>
      <c r="C44" s="11">
        <f>5288.3+2709.19</f>
        <v>7997.49</v>
      </c>
      <c r="D44" s="28">
        <v>6050</v>
      </c>
      <c r="E44" s="31"/>
      <c r="F44" s="31"/>
      <c r="G44" s="31"/>
      <c r="H44" s="31"/>
      <c r="I44" s="33"/>
      <c r="J44" s="33"/>
      <c r="K44" s="9">
        <f t="shared" si="19"/>
        <v>14047.49</v>
      </c>
      <c r="L44" s="3">
        <v>2734.77</v>
      </c>
      <c r="M44" s="3">
        <f>38.89+713.08</f>
        <v>751.97</v>
      </c>
      <c r="N44" s="2">
        <f>K44-L44-M44-R44</f>
        <v>879.55999999999949</v>
      </c>
      <c r="O44" s="2">
        <f>SUM(L44:N44)</f>
        <v>4366.2999999999993</v>
      </c>
      <c r="P44" s="15">
        <f t="shared" si="3"/>
        <v>9681.19</v>
      </c>
      <c r="Q44" s="21"/>
      <c r="R44" s="22">
        <v>9681.19</v>
      </c>
    </row>
    <row r="45" spans="1:18" x14ac:dyDescent="0.25">
      <c r="A45">
        <v>38</v>
      </c>
      <c r="B45" s="13" t="s">
        <v>29</v>
      </c>
      <c r="C45" s="11">
        <f>4927.52+827.82</f>
        <v>5755.34</v>
      </c>
      <c r="D45" s="28">
        <v>985.5</v>
      </c>
      <c r="E45" s="31"/>
      <c r="F45" s="31"/>
      <c r="G45" s="31"/>
      <c r="H45" s="31"/>
      <c r="I45" s="33"/>
      <c r="J45" s="33"/>
      <c r="K45" s="9">
        <f t="shared" si="19"/>
        <v>6740.84</v>
      </c>
      <c r="L45" s="3">
        <v>673.3</v>
      </c>
      <c r="M45" s="3">
        <f>221.95+530.02</f>
        <v>751.97</v>
      </c>
      <c r="N45" s="2">
        <f t="shared" si="20"/>
        <v>435.88000000000011</v>
      </c>
      <c r="O45" s="2">
        <f t="shared" si="2"/>
        <v>1861.15</v>
      </c>
      <c r="P45" s="15">
        <f t="shared" si="3"/>
        <v>4879.6900000000005</v>
      </c>
      <c r="Q45" s="21"/>
      <c r="R45" s="22">
        <v>4879.6899999999996</v>
      </c>
    </row>
    <row r="46" spans="1:18" x14ac:dyDescent="0.25">
      <c r="A46">
        <v>39</v>
      </c>
      <c r="B46" s="13" t="s">
        <v>30</v>
      </c>
      <c r="C46" s="11">
        <v>6931.01</v>
      </c>
      <c r="D46" s="28"/>
      <c r="E46" s="31"/>
      <c r="F46" s="28"/>
      <c r="G46" s="31"/>
      <c r="H46" s="31"/>
      <c r="I46" s="33"/>
      <c r="J46" s="33"/>
      <c r="K46" s="9">
        <f t="shared" si="19"/>
        <v>6931.01</v>
      </c>
      <c r="L46" s="3">
        <v>777.74</v>
      </c>
      <c r="M46" s="3">
        <v>751.97</v>
      </c>
      <c r="N46" s="2">
        <f t="shared" si="20"/>
        <v>895.07000000000062</v>
      </c>
      <c r="O46" s="2">
        <f t="shared" si="2"/>
        <v>2424.7800000000007</v>
      </c>
      <c r="P46" s="15">
        <f>SUM(K46-O46)+H46</f>
        <v>4506.2299999999996</v>
      </c>
      <c r="Q46" s="21"/>
      <c r="R46" s="22">
        <v>4506.2299999999996</v>
      </c>
    </row>
    <row r="47" spans="1:18" x14ac:dyDescent="0.25">
      <c r="A47">
        <v>40</v>
      </c>
      <c r="B47" s="13" t="s">
        <v>31</v>
      </c>
      <c r="C47" s="11">
        <f>657+86.72</f>
        <v>743.72</v>
      </c>
      <c r="D47" s="28">
        <v>131.4</v>
      </c>
      <c r="E47" s="31">
        <v>725.01</v>
      </c>
      <c r="F47" s="31">
        <f>854.1+4270.51+563.71+1896.11</f>
        <v>7584.43</v>
      </c>
      <c r="G47" s="31"/>
      <c r="H47" s="31"/>
      <c r="I47" s="33"/>
      <c r="J47" s="33"/>
      <c r="K47" s="9">
        <f t="shared" si="19"/>
        <v>9184.5600000000013</v>
      </c>
      <c r="L47" s="3">
        <v>1008.06</v>
      </c>
      <c r="M47" s="3">
        <f>99.35+652.62</f>
        <v>751.97</v>
      </c>
      <c r="N47" s="2">
        <f t="shared" si="20"/>
        <v>7424.5300000000016</v>
      </c>
      <c r="O47" s="2">
        <f t="shared" si="2"/>
        <v>9184.5600000000013</v>
      </c>
      <c r="P47" s="15">
        <f>SUM(K47-O47)+H47</f>
        <v>0</v>
      </c>
      <c r="Q47" s="21"/>
      <c r="R47" s="22">
        <v>0</v>
      </c>
    </row>
    <row r="48" spans="1:18" x14ac:dyDescent="0.25">
      <c r="A48">
        <v>41</v>
      </c>
      <c r="B48" s="13" t="s">
        <v>32</v>
      </c>
      <c r="C48" s="11">
        <v>4221.09</v>
      </c>
      <c r="D48" s="28"/>
      <c r="E48" s="31"/>
      <c r="F48" s="31"/>
      <c r="G48" s="31"/>
      <c r="H48" s="31"/>
      <c r="I48" s="33"/>
      <c r="J48" s="33"/>
      <c r="K48" s="9">
        <f t="shared" si="19"/>
        <v>4221.09</v>
      </c>
      <c r="L48" s="3">
        <v>155.15</v>
      </c>
      <c r="M48" s="3">
        <v>442.23</v>
      </c>
      <c r="N48" s="2">
        <f t="shared" si="20"/>
        <v>669.98</v>
      </c>
      <c r="O48" s="2">
        <f t="shared" si="2"/>
        <v>1267.3600000000001</v>
      </c>
      <c r="P48" s="15">
        <f t="shared" si="3"/>
        <v>2953.73</v>
      </c>
      <c r="Q48" s="21"/>
      <c r="R48" s="22">
        <v>2953.73</v>
      </c>
    </row>
    <row r="49" spans="1:18" x14ac:dyDescent="0.25">
      <c r="A49">
        <v>42</v>
      </c>
      <c r="B49" s="13" t="s">
        <v>64</v>
      </c>
      <c r="C49" s="11">
        <v>2456.08</v>
      </c>
      <c r="D49" s="28"/>
      <c r="E49" s="31"/>
      <c r="F49" s="31"/>
      <c r="G49" s="31"/>
      <c r="H49" s="31"/>
      <c r="I49" s="33"/>
      <c r="J49" s="33"/>
      <c r="K49" s="9">
        <f t="shared" si="19"/>
        <v>2456.08</v>
      </c>
      <c r="L49" s="3">
        <v>25.5</v>
      </c>
      <c r="M49" s="3">
        <v>212.12</v>
      </c>
      <c r="N49" s="2">
        <f t="shared" si="20"/>
        <v>6.1199999999998909</v>
      </c>
      <c r="O49" s="2">
        <f t="shared" si="2"/>
        <v>243.7399999999999</v>
      </c>
      <c r="P49" s="15">
        <f t="shared" si="3"/>
        <v>2212.34</v>
      </c>
      <c r="Q49" s="21"/>
      <c r="R49" s="22">
        <v>2212.34</v>
      </c>
    </row>
    <row r="50" spans="1:18" x14ac:dyDescent="0.25">
      <c r="A50">
        <v>43</v>
      </c>
      <c r="B50" s="13" t="s">
        <v>33</v>
      </c>
      <c r="C50" s="11">
        <f>4927.52+709.56</f>
        <v>5637.08</v>
      </c>
      <c r="D50" s="28">
        <v>985.5</v>
      </c>
      <c r="E50" s="31"/>
      <c r="F50" s="31"/>
      <c r="G50" s="31"/>
      <c r="H50" s="31"/>
      <c r="I50" s="33"/>
      <c r="J50" s="33"/>
      <c r="K50" s="9">
        <f t="shared" ref="K50:K57" si="21">SUM(C50:I50)</f>
        <v>6622.58</v>
      </c>
      <c r="L50" s="3">
        <v>692.92</v>
      </c>
      <c r="M50" s="3">
        <v>751.97</v>
      </c>
      <c r="N50" s="2">
        <f t="shared" si="20"/>
        <v>220.86999999999989</v>
      </c>
      <c r="O50" s="2">
        <f t="shared" si="2"/>
        <v>1665.7599999999998</v>
      </c>
      <c r="P50" s="15">
        <f t="shared" si="3"/>
        <v>4956.82</v>
      </c>
      <c r="Q50" s="21"/>
      <c r="R50" s="22">
        <v>4956.82</v>
      </c>
    </row>
    <row r="51" spans="1:18" x14ac:dyDescent="0.25">
      <c r="A51">
        <v>44</v>
      </c>
      <c r="B51" s="13" t="s">
        <v>34</v>
      </c>
      <c r="C51" s="11">
        <v>5514.06</v>
      </c>
      <c r="D51" s="28"/>
      <c r="E51" s="31"/>
      <c r="F51" s="31"/>
      <c r="G51" s="31"/>
      <c r="H51" s="31"/>
      <c r="I51" s="33"/>
      <c r="J51" s="33"/>
      <c r="K51" s="9">
        <f t="shared" si="21"/>
        <v>5514.06</v>
      </c>
      <c r="L51" s="3">
        <v>418.55</v>
      </c>
      <c r="M51" s="3">
        <v>620.32000000000005</v>
      </c>
      <c r="N51" s="2">
        <f t="shared" si="20"/>
        <v>796.19000000000051</v>
      </c>
      <c r="O51" s="2">
        <f t="shared" si="2"/>
        <v>1835.0600000000006</v>
      </c>
      <c r="P51" s="15">
        <f t="shared" si="3"/>
        <v>3679</v>
      </c>
      <c r="Q51" s="21"/>
      <c r="R51" s="22">
        <v>3679</v>
      </c>
    </row>
    <row r="52" spans="1:18" x14ac:dyDescent="0.25">
      <c r="A52">
        <v>45</v>
      </c>
      <c r="B52" s="13" t="s">
        <v>57</v>
      </c>
      <c r="C52" s="11">
        <v>1881.14</v>
      </c>
      <c r="D52" s="28"/>
      <c r="E52" s="31"/>
      <c r="F52" s="31"/>
      <c r="G52" s="31"/>
      <c r="H52" s="31"/>
      <c r="I52" s="33"/>
      <c r="J52" s="33"/>
      <c r="K52" s="9">
        <f t="shared" si="21"/>
        <v>1881.14</v>
      </c>
      <c r="L52" s="3"/>
      <c r="M52" s="3">
        <v>152.80000000000001</v>
      </c>
      <c r="N52" s="2">
        <f t="shared" ref="N52" si="22">K52-L52-M52-R52</f>
        <v>6.1200000000001182</v>
      </c>
      <c r="O52" s="2">
        <f t="shared" ref="O52" si="23">SUM(L52:N52)</f>
        <v>158.92000000000013</v>
      </c>
      <c r="P52" s="15">
        <f t="shared" ref="P52" si="24">SUM(K52-O52)</f>
        <v>1722.22</v>
      </c>
      <c r="Q52" s="21"/>
      <c r="R52" s="22">
        <v>1722.22</v>
      </c>
    </row>
    <row r="53" spans="1:18" x14ac:dyDescent="0.25">
      <c r="A53">
        <v>46</v>
      </c>
      <c r="B53" s="13" t="s">
        <v>35</v>
      </c>
      <c r="C53" s="11">
        <f>11980.55+4025.46</f>
        <v>16006.009999999998</v>
      </c>
      <c r="D53" s="28">
        <v>2396.11</v>
      </c>
      <c r="E53" s="31"/>
      <c r="F53" s="31"/>
      <c r="G53" s="31"/>
      <c r="H53" s="31"/>
      <c r="I53" s="33"/>
      <c r="J53" s="33"/>
      <c r="K53" s="9">
        <f t="shared" si="21"/>
        <v>18402.12</v>
      </c>
      <c r="L53" s="3">
        <v>3984.43</v>
      </c>
      <c r="M53" s="3">
        <v>751.97</v>
      </c>
      <c r="N53" s="2">
        <f t="shared" si="20"/>
        <v>6.1199999999989814</v>
      </c>
      <c r="O53" s="2">
        <f t="shared" si="2"/>
        <v>4742.5199999999986</v>
      </c>
      <c r="P53" s="15">
        <f>SUM(K53-O53)+H53</f>
        <v>13659.6</v>
      </c>
      <c r="Q53" s="21"/>
      <c r="R53" s="22">
        <v>13659.6</v>
      </c>
    </row>
    <row r="54" spans="1:18" x14ac:dyDescent="0.25">
      <c r="A54">
        <v>47</v>
      </c>
      <c r="B54" s="13" t="s">
        <v>36</v>
      </c>
      <c r="C54" s="11">
        <v>2160.0700000000002</v>
      </c>
      <c r="D54" s="28"/>
      <c r="E54" s="31"/>
      <c r="F54" s="31"/>
      <c r="G54" s="31"/>
      <c r="H54" s="31"/>
      <c r="I54" s="33"/>
      <c r="J54" s="33"/>
      <c r="K54" s="9">
        <f t="shared" si="21"/>
        <v>2160.0700000000002</v>
      </c>
      <c r="L54" s="3"/>
      <c r="M54" s="3">
        <v>177.9</v>
      </c>
      <c r="N54" s="2">
        <f t="shared" si="20"/>
        <v>35.550000000000182</v>
      </c>
      <c r="O54" s="2">
        <f t="shared" si="2"/>
        <v>213.45000000000019</v>
      </c>
      <c r="P54" s="15">
        <f t="shared" si="3"/>
        <v>1946.62</v>
      </c>
      <c r="Q54" s="21"/>
      <c r="R54" s="22">
        <v>1946.62</v>
      </c>
    </row>
    <row r="55" spans="1:18" x14ac:dyDescent="0.25">
      <c r="A55">
        <v>48</v>
      </c>
      <c r="B55" s="13" t="s">
        <v>82</v>
      </c>
      <c r="C55" s="11">
        <v>2669.57</v>
      </c>
      <c r="D55" s="28"/>
      <c r="E55" s="31"/>
      <c r="F55" s="31"/>
      <c r="G55" s="31"/>
      <c r="H55" s="31"/>
      <c r="I55" s="33"/>
      <c r="J55" s="33"/>
      <c r="K55" s="9">
        <f t="shared" si="21"/>
        <v>2669.57</v>
      </c>
      <c r="L55" s="3">
        <v>39.590000000000003</v>
      </c>
      <c r="M55" s="3">
        <v>237.74</v>
      </c>
      <c r="N55" s="2">
        <f t="shared" ref="N55" si="25">K55-L55-M55-R55</f>
        <v>692.09999999999968</v>
      </c>
      <c r="O55" s="2">
        <f t="shared" ref="O55" si="26">SUM(L55:N55)</f>
        <v>969.42999999999972</v>
      </c>
      <c r="P55" s="15">
        <f t="shared" ref="P55" si="27">SUM(K55-O55)</f>
        <v>1700.1400000000003</v>
      </c>
      <c r="Q55" s="21"/>
      <c r="R55" s="22">
        <v>1700.14</v>
      </c>
    </row>
    <row r="56" spans="1:18" x14ac:dyDescent="0.25">
      <c r="A56">
        <v>49</v>
      </c>
      <c r="B56" s="13" t="s">
        <v>37</v>
      </c>
      <c r="C56" s="11">
        <f>10377.23+3984.86</f>
        <v>14362.09</v>
      </c>
      <c r="D56" s="28">
        <v>2075.4499999999998</v>
      </c>
      <c r="E56" s="31"/>
      <c r="F56" s="31"/>
      <c r="G56" s="31"/>
      <c r="H56" s="31"/>
      <c r="I56" s="33"/>
      <c r="J56" s="33"/>
      <c r="K56" s="9">
        <f t="shared" si="21"/>
        <v>16437.54</v>
      </c>
      <c r="L56" s="3">
        <v>3392.03</v>
      </c>
      <c r="M56" s="3">
        <v>751.97</v>
      </c>
      <c r="N56" s="2">
        <f t="shared" si="20"/>
        <v>1442.8000000000011</v>
      </c>
      <c r="O56" s="2">
        <f t="shared" si="2"/>
        <v>5586.8000000000011</v>
      </c>
      <c r="P56" s="15">
        <f>SUM(K56-O56)+H56</f>
        <v>10850.74</v>
      </c>
      <c r="Q56" s="21"/>
      <c r="R56" s="22">
        <v>10850.74</v>
      </c>
    </row>
    <row r="57" spans="1:18" x14ac:dyDescent="0.25">
      <c r="A57">
        <v>50</v>
      </c>
      <c r="B57" s="13" t="s">
        <v>38</v>
      </c>
      <c r="C57" s="11">
        <f>1950.55+565.66</f>
        <v>2516.21</v>
      </c>
      <c r="D57" s="28"/>
      <c r="E57" s="31"/>
      <c r="F57" s="31">
        <f>1950.55+565.66+838.74</f>
        <v>3354.95</v>
      </c>
      <c r="G57" s="31">
        <f>1300.36+377.11+559.16</f>
        <v>2236.6299999999997</v>
      </c>
      <c r="H57" s="31">
        <f>1950.55+565.66</f>
        <v>2516.21</v>
      </c>
      <c r="I57" s="33"/>
      <c r="J57" s="33"/>
      <c r="K57" s="9">
        <f t="shared" si="21"/>
        <v>10624</v>
      </c>
      <c r="L57" s="3">
        <v>71.86</v>
      </c>
      <c r="M57" s="3">
        <f>352.27+320.97</f>
        <v>673.24</v>
      </c>
      <c r="N57" s="2">
        <f t="shared" si="20"/>
        <v>9643.74</v>
      </c>
      <c r="O57" s="2">
        <f t="shared" si="2"/>
        <v>10388.84</v>
      </c>
      <c r="P57" s="15">
        <f t="shared" si="3"/>
        <v>235.15999999999985</v>
      </c>
      <c r="Q57" s="21"/>
      <c r="R57" s="22">
        <v>235.16</v>
      </c>
    </row>
    <row r="58" spans="1:18" x14ac:dyDescent="0.25">
      <c r="A58">
        <v>51</v>
      </c>
      <c r="B58" s="13" t="s">
        <v>65</v>
      </c>
      <c r="C58" s="11">
        <f>3327.83+33.28</f>
        <v>3361.11</v>
      </c>
      <c r="D58" s="28"/>
      <c r="E58" s="31"/>
      <c r="F58" s="31">
        <f>665.57+6.66+224.08</f>
        <v>896.31000000000006</v>
      </c>
      <c r="G58" s="31"/>
      <c r="H58" s="31"/>
      <c r="I58" s="33"/>
      <c r="J58" s="33"/>
      <c r="K58" s="9">
        <f>SUM(C58:I58)</f>
        <v>4257.42</v>
      </c>
      <c r="L58" s="3">
        <v>92.35</v>
      </c>
      <c r="M58" s="3">
        <f>380.09+67.22</f>
        <v>447.30999999999995</v>
      </c>
      <c r="N58" s="2">
        <f t="shared" ref="N58" si="28">K58-L58-M58-R58</f>
        <v>1886.6399999999999</v>
      </c>
      <c r="O58" s="2">
        <f t="shared" ref="O58" si="29">SUM(L58:N58)</f>
        <v>2426.2999999999997</v>
      </c>
      <c r="P58" s="15">
        <f t="shared" ref="P58" si="30">SUM(K58-O58)</f>
        <v>1831.1200000000003</v>
      </c>
      <c r="Q58" s="21"/>
      <c r="R58" s="22">
        <v>1831.12</v>
      </c>
    </row>
    <row r="59" spans="1:18" x14ac:dyDescent="0.25">
      <c r="A59">
        <v>52</v>
      </c>
      <c r="B59" s="13" t="s">
        <v>63</v>
      </c>
      <c r="C59" s="11">
        <f>994.74+19.89</f>
        <v>1014.63</v>
      </c>
      <c r="D59" s="28"/>
      <c r="E59" s="31"/>
      <c r="F59" s="31">
        <f>760.68+15.21+258.63</f>
        <v>1034.52</v>
      </c>
      <c r="G59" s="31"/>
      <c r="H59" s="31"/>
      <c r="I59" s="33"/>
      <c r="J59" s="33"/>
      <c r="K59" s="9">
        <f>SUM(C59:I59)</f>
        <v>2049.15</v>
      </c>
      <c r="L59" s="3"/>
      <c r="M59" s="3">
        <f>89.11+78.81</f>
        <v>167.92000000000002</v>
      </c>
      <c r="N59" s="2">
        <f t="shared" ref="N59" si="31">K59-L59-M59-R59</f>
        <v>1087.1199999999999</v>
      </c>
      <c r="O59" s="2">
        <f t="shared" ref="O59" si="32">SUM(L59:N59)</f>
        <v>1255.04</v>
      </c>
      <c r="P59" s="15">
        <f t="shared" ref="P59" si="33">SUM(K59-O59)</f>
        <v>794.11000000000013</v>
      </c>
      <c r="Q59" s="21"/>
      <c r="R59" s="22">
        <v>794.11</v>
      </c>
    </row>
    <row r="60" spans="1:18" ht="15.75" thickBot="1" x14ac:dyDescent="0.3">
      <c r="A60">
        <v>53</v>
      </c>
      <c r="B60" s="14" t="s">
        <v>39</v>
      </c>
      <c r="C60" s="12">
        <f>8015.71+1154.26</f>
        <v>9169.9699999999993</v>
      </c>
      <c r="D60" s="30">
        <v>1603.14</v>
      </c>
      <c r="E60" s="34"/>
      <c r="F60" s="34"/>
      <c r="G60" s="34"/>
      <c r="H60" s="34"/>
      <c r="I60" s="35">
        <v>9324.93</v>
      </c>
      <c r="J60" s="35"/>
      <c r="K60" s="10">
        <f>SUM(C60:I60)</f>
        <v>20098.04</v>
      </c>
      <c r="L60" s="7">
        <v>4398.67</v>
      </c>
      <c r="M60" s="7">
        <f>96.3+655.67</f>
        <v>751.96999999999991</v>
      </c>
      <c r="N60" s="8">
        <f t="shared" si="20"/>
        <v>68.920000000001892</v>
      </c>
      <c r="O60" s="8">
        <f t="shared" si="2"/>
        <v>5219.5600000000022</v>
      </c>
      <c r="P60" s="16">
        <f t="shared" si="3"/>
        <v>14878.48</v>
      </c>
      <c r="Q60" s="21"/>
      <c r="R60" s="22">
        <v>14878.48</v>
      </c>
    </row>
    <row r="61" spans="1:18" ht="15.75" thickBot="1" x14ac:dyDescent="0.3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</row>
    <row r="62" spans="1:18" x14ac:dyDescent="0.25">
      <c r="B62" s="58" t="s">
        <v>77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60"/>
    </row>
    <row r="63" spans="1:18" x14ac:dyDescent="0.25">
      <c r="B63" s="62" t="s">
        <v>75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4"/>
    </row>
    <row r="64" spans="1:18" ht="5.25" customHeight="1" x14ac:dyDescent="0.25"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7"/>
    </row>
    <row r="65" spans="2:16" x14ac:dyDescent="0.25">
      <c r="B65" s="68" t="s">
        <v>76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70"/>
    </row>
    <row r="66" spans="2:16" x14ac:dyDescent="0.25">
      <c r="B66" s="45" t="s">
        <v>71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7"/>
    </row>
    <row r="67" spans="2:16" x14ac:dyDescent="0.25">
      <c r="B67" s="45" t="s">
        <v>72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7"/>
    </row>
    <row r="68" spans="2:16" x14ac:dyDescent="0.25">
      <c r="B68" s="45" t="s">
        <v>73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7"/>
    </row>
    <row r="69" spans="2:16" ht="15.75" thickBot="1" x14ac:dyDescent="0.3">
      <c r="B69" s="71" t="s">
        <v>74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3"/>
    </row>
    <row r="70" spans="2:16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</sheetData>
  <mergeCells count="19">
    <mergeCell ref="B69:P69"/>
    <mergeCell ref="B64:P64"/>
    <mergeCell ref="B65:P65"/>
    <mergeCell ref="B66:P66"/>
    <mergeCell ref="B68:P68"/>
    <mergeCell ref="B67:P67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2:P62"/>
    <mergeCell ref="B61:P61"/>
    <mergeCell ref="B63:P63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2021-05-05T16:16:36Z</cp:lastPrinted>
  <dcterms:created xsi:type="dcterms:W3CDTF">2016-04-28T12:49:34Z</dcterms:created>
  <dcterms:modified xsi:type="dcterms:W3CDTF">2022-01-27T12:39:09Z</dcterms:modified>
</cp:coreProperties>
</file>