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4\FOLHA DE PAGAMENTO\PORTAL DA TRANSPARÊNCIA\04-ABRIL\"/>
    </mc:Choice>
  </mc:AlternateContent>
  <xr:revisionPtr revIDLastSave="0" documentId="13_ncr:1_{6441C53A-E52D-4663-841F-E97567D58D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6" l="1"/>
  <c r="M62" i="6"/>
  <c r="F62" i="6"/>
  <c r="C62" i="6"/>
  <c r="C61" i="6"/>
  <c r="C59" i="6"/>
  <c r="M57" i="6"/>
  <c r="F57" i="6"/>
  <c r="G57" i="6"/>
  <c r="C57" i="6"/>
  <c r="C55" i="6"/>
  <c r="M54" i="6"/>
  <c r="F54" i="6"/>
  <c r="C54" i="6"/>
  <c r="M53" i="6"/>
  <c r="G53" i="6"/>
  <c r="F53" i="6"/>
  <c r="C53" i="6"/>
  <c r="C52" i="6"/>
  <c r="M50" i="6"/>
  <c r="G50" i="6"/>
  <c r="F50" i="6"/>
  <c r="C50" i="6"/>
  <c r="C47" i="6"/>
  <c r="D46" i="6"/>
  <c r="C46" i="6"/>
  <c r="C45" i="6"/>
  <c r="C44" i="6"/>
  <c r="C41" i="6"/>
  <c r="C40" i="6"/>
  <c r="D38" i="6"/>
  <c r="C38" i="6"/>
  <c r="C37" i="6"/>
  <c r="M36" i="6"/>
  <c r="G36" i="6"/>
  <c r="F36" i="6"/>
  <c r="C36" i="6"/>
  <c r="C35" i="6"/>
  <c r="M34" i="6"/>
  <c r="L34" i="6"/>
  <c r="F34" i="6"/>
  <c r="C34" i="6"/>
  <c r="C33" i="6"/>
  <c r="M33" i="6"/>
  <c r="G33" i="6"/>
  <c r="F33" i="6"/>
  <c r="M32" i="6"/>
  <c r="L32" i="6"/>
  <c r="F32" i="6"/>
  <c r="C32" i="6"/>
  <c r="C29" i="6"/>
  <c r="C26" i="6"/>
  <c r="C25" i="6"/>
  <c r="C24" i="6"/>
  <c r="L23" i="6"/>
  <c r="F23" i="6"/>
  <c r="C23" i="6"/>
  <c r="M20" i="6"/>
  <c r="F20" i="6"/>
  <c r="C20" i="6"/>
  <c r="C19" i="6"/>
  <c r="C17" i="6"/>
  <c r="C16" i="6"/>
  <c r="D14" i="6"/>
  <c r="C14" i="6"/>
  <c r="C13" i="6"/>
  <c r="C9" i="6"/>
  <c r="D8" i="6"/>
  <c r="C8" i="6"/>
  <c r="C7" i="6"/>
  <c r="K22" i="6"/>
  <c r="N22" i="6" s="1"/>
  <c r="O22" i="6" s="1"/>
  <c r="P22" i="6" s="1"/>
  <c r="K15" i="6" l="1"/>
  <c r="N15" i="6"/>
  <c r="O15" i="6" s="1"/>
  <c r="P15" i="6" s="1"/>
  <c r="K30" i="6"/>
  <c r="N30" i="6" s="1"/>
  <c r="O30" i="6" s="1"/>
  <c r="P30" i="6" s="1"/>
  <c r="K29" i="6"/>
  <c r="K20" i="6"/>
  <c r="N20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36" i="6"/>
  <c r="N36" i="6" s="1"/>
  <c r="O36" i="6" s="1"/>
  <c r="P36" i="6" s="1"/>
  <c r="K10" i="6"/>
  <c r="N29" i="6" l="1"/>
  <c r="O29" i="6" s="1"/>
  <c r="P29" i="6" s="1"/>
  <c r="O20" i="6"/>
  <c r="P20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5" i="6"/>
  <c r="K49" i="6"/>
  <c r="K51" i="6"/>
  <c r="K52" i="6"/>
  <c r="K53" i="6"/>
  <c r="K54" i="6"/>
  <c r="K56" i="6"/>
  <c r="K59" i="6"/>
  <c r="K60" i="6"/>
  <c r="K61" i="6"/>
  <c r="K42" i="6"/>
  <c r="K41" i="6"/>
  <c r="K31" i="6"/>
  <c r="K32" i="6"/>
  <c r="K33" i="6"/>
  <c r="K34" i="6"/>
  <c r="K37" i="6"/>
  <c r="K38" i="6"/>
  <c r="K39" i="6"/>
  <c r="K40" i="6"/>
  <c r="K8" i="6"/>
  <c r="K11" i="6"/>
  <c r="K12" i="6"/>
  <c r="K16" i="6"/>
  <c r="K17" i="6"/>
  <c r="K18" i="6"/>
  <c r="K19" i="6"/>
  <c r="K21" i="6"/>
  <c r="K23" i="6"/>
  <c r="K24" i="6"/>
  <c r="K25" i="6"/>
  <c r="K26" i="6"/>
  <c r="K27" i="6"/>
  <c r="K28" i="6"/>
  <c r="K7" i="6"/>
  <c r="K50" i="6" l="1"/>
  <c r="K14" i="6"/>
  <c r="N61" i="6" l="1"/>
  <c r="O61" i="6" s="1"/>
  <c r="P61" i="6" s="1"/>
  <c r="N32" i="6" l="1"/>
  <c r="O32" i="6" s="1"/>
  <c r="P32" i="6" s="1"/>
  <c r="N8" i="6" l="1"/>
  <c r="O8" i="6" s="1"/>
  <c r="P8" i="6" s="1"/>
  <c r="N39" i="6" l="1"/>
  <c r="O39" i="6" s="1"/>
  <c r="P39" i="6" s="1"/>
  <c r="N54" i="6" l="1"/>
  <c r="O54" i="6" s="1"/>
  <c r="P54" i="6" s="1"/>
  <c r="N16" i="6" l="1"/>
  <c r="O16" i="6" s="1"/>
  <c r="P16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5" i="6"/>
  <c r="O35" i="6" s="1"/>
  <c r="P35" i="6" s="1"/>
  <c r="N34" i="6"/>
  <c r="O34" i="6" s="1"/>
  <c r="P34" i="6" s="1"/>
  <c r="N31" i="6"/>
  <c r="O31" i="6" s="1"/>
  <c r="P31" i="6" s="1"/>
  <c r="N28" i="6"/>
  <c r="O28" i="6" s="1"/>
  <c r="P28" i="6" s="1"/>
  <c r="N26" i="6"/>
  <c r="O26" i="6" s="1"/>
  <c r="P26" i="6" s="1"/>
  <c r="N25" i="6"/>
  <c r="O25" i="6" s="1"/>
  <c r="P25" i="6" s="1"/>
  <c r="N24" i="6"/>
  <c r="O24" i="6" s="1"/>
  <c r="P24" i="6" s="1"/>
  <c r="N23" i="6"/>
  <c r="O23" i="6" s="1"/>
  <c r="P23" i="6" s="1"/>
  <c r="N19" i="6"/>
  <c r="O19" i="6" s="1"/>
  <c r="P19" i="6" s="1"/>
  <c r="N7" i="6"/>
  <c r="O7" i="6" s="1"/>
  <c r="P7" i="6" s="1"/>
  <c r="N44" i="6" l="1"/>
  <c r="O44" i="6" s="1"/>
  <c r="P44" i="6" s="1"/>
  <c r="N60" i="6"/>
  <c r="O60" i="6" s="1"/>
  <c r="P60" i="6" s="1"/>
  <c r="N17" i="6"/>
  <c r="O17" i="6" s="1"/>
  <c r="P17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3" i="6"/>
  <c r="O33" i="6" s="1"/>
  <c r="P33" i="6" s="1"/>
  <c r="N27" i="6"/>
  <c r="O27" i="6" s="1"/>
  <c r="P27" i="6" s="1"/>
  <c r="N38" i="6"/>
  <c r="O38" i="6" s="1"/>
  <c r="P38" i="6" s="1"/>
  <c r="N42" i="6"/>
  <c r="O42" i="6" s="1"/>
  <c r="P42" i="6" s="1"/>
  <c r="N21" i="6"/>
  <c r="O21" i="6" s="1"/>
  <c r="P21" i="6" s="1"/>
  <c r="N18" i="6"/>
  <c r="O18" i="6" s="1"/>
  <c r="P18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<sst xmlns="http://schemas.openxmlformats.org/spreadsheetml/2006/main" count="89" uniqueCount="87">
  <si>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</si>
  <si>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</si>
  <si>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</si>
  <si>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</si>
  <si>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</si>
  <si>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</si>
  <si>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</si>
  <si>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</si>
  <si>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</si>
  <si>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</si>
  <si>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</si>
  <si>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</si>
  <si>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</si>
  <si>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</si>
  <si>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</si>
  <si>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</si>
  <si>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</si>
  <si>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</si>
  <si>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</si>
  <si>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</si>
  <si>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</si>
  <si>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</si>
  <si>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</si>
  <si>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</si>
  <si>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</si>
  <si>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</si>
  <si>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</si>
  <si>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</si>
  <si>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</si>
  <si>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</si>
  <si>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</si>
  <si>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</si>
  <si>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</si>
  <si>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</si>
  <si>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</si>
  <si>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</si>
  <si>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</si>
  <si>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</si>
  <si>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</si>
  <si>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</si>
  <si>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</si>
  <si>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</si>
  <si>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</si>
  <si>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</si>
  <si>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</si>
  <si>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</si>
  <si>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</si>
  <si>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</si>
  <si>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</si>
  <si>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</si>
  <si>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</si>
  <si>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</si>
  <si>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</si>
  <si>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</si>
  <si>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</si>
  <si>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</si>
  <si>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</si>
  <si>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</si>
  <si>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</si>
  <si>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</si>
  <si>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</si>
  <si>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</si>
  <si>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</si>
  <si>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</si>
  <si>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</si>
  <si>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</si>
  <si>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</si>
  <si>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</si>
  <si>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</si>
  <si>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</si>
  <si>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</si>
  <si>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</si>
  <si>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</si>
  <si>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</si>
  <si>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</si>
  <si>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MAICON ALLAN MARTINS GADIOLI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</si>
  <si>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</si>
  <si>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</si>
  <si>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</si>
  <si>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</si>
  <si>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</si>
  <si>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É concedido a todos os funcionários o Auxílio alimentação, subdividido em duas modalidades: Cesta básica no valor de R$ 638,00 por mês e o Vale refeição no valor diário de R$ 29,00, num  total de 22 vales por mês.</t>
  </si>
  <si>
    <t>JESSICA ROMANI</t>
  </si>
  <si>
    <t>CELSO LUIZ CAVAGLIER WOLF</t>
  </si>
  <si>
    <t>MURILLO GRAZIANI</t>
  </si>
  <si>
    <t>GABRIEL MACIEL DE CORDOVA</t>
  </si>
  <si>
    <t>ABRIL/2024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</si>
</sst>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0" fontId="0" fillId="0" borderId="28" xfId="0" applyBorder="1"/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D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RowHeight="15" outlineLevelCol="1" x14ac:dyDescent="0.25"/>
  <cols>
    <col min="1" max="1" width="3.7109375" customWidth="1"/>
    <col min="2" max="2" width="45.42578125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9" ht="16.5" x14ac:dyDescent="0.25">
      <c r="B2" s="64" t="s">
        <v>49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9" ht="4.5" customHeight="1" thickBot="1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9" ht="19.5" thickBot="1" x14ac:dyDescent="0.35">
      <c r="B4" s="44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6" t="s">
        <v>47</v>
      </c>
      <c r="C5" s="68" t="s">
        <v>37</v>
      </c>
      <c r="D5" s="72" t="s">
        <v>59</v>
      </c>
      <c r="E5" s="68" t="s">
        <v>38</v>
      </c>
      <c r="F5" s="68" t="s">
        <v>60</v>
      </c>
      <c r="G5" s="38" t="s">
        <v>61</v>
      </c>
      <c r="H5" s="39" t="s">
        <v>63</v>
      </c>
      <c r="I5" s="20" t="s">
        <v>50</v>
      </c>
      <c r="J5" s="8" t="s">
        <v>68</v>
      </c>
      <c r="K5" s="20" t="s">
        <v>39</v>
      </c>
      <c r="L5" s="70" t="s">
        <v>41</v>
      </c>
      <c r="M5" s="68" t="s">
        <v>42</v>
      </c>
      <c r="N5" s="20" t="s">
        <v>43</v>
      </c>
      <c r="O5" s="8" t="s">
        <v>45</v>
      </c>
      <c r="P5" s="22" t="s">
        <v>39</v>
      </c>
    </row>
    <row r="6" spans="1:19" ht="15.75" thickBot="1" x14ac:dyDescent="0.3">
      <c r="B6" s="67"/>
      <c r="C6" s="69"/>
      <c r="D6" s="73"/>
      <c r="E6" s="69"/>
      <c r="F6" s="69"/>
      <c r="G6" s="40" t="s">
        <v>62</v>
      </c>
      <c r="H6" s="41" t="s">
        <v>52</v>
      </c>
      <c r="I6" s="21" t="s">
        <v>51</v>
      </c>
      <c r="J6" s="9" t="s">
        <v>69</v>
      </c>
      <c r="K6" s="21" t="s">
        <v>40</v>
      </c>
      <c r="L6" s="71"/>
      <c r="M6" s="69"/>
      <c r="N6" s="21" t="s">
        <v>44</v>
      </c>
      <c r="O6" s="9" t="s">
        <v>44</v>
      </c>
      <c r="P6" s="23" t="s">
        <v>46</v>
      </c>
    </row>
    <row r="7" spans="1:19" x14ac:dyDescent="0.25">
      <c r="A7" s="42">
        <v>1</v>
      </c>
      <c r="B7" s="16" t="s">
        <v>0</v>
      </c>
      <c r="C7" s="14">
        <f>7525.03+962.48</f>
        <v>8487.51</v>
      </c>
      <c r="D7" s="27">
        <v>3169.18</v>
      </c>
      <c r="E7" s="27"/>
      <c r="F7" s="27"/>
      <c r="G7" s="27"/>
      <c r="H7" s="27"/>
      <c r="I7" s="30"/>
      <c r="J7" s="30"/>
      <c r="K7" s="12">
        <f t="shared" ref="K7:K14" si="0">SUM(C7:I7)</f>
        <v>11656.69</v>
      </c>
      <c r="L7" s="3">
        <v>2059.66</v>
      </c>
      <c r="M7" s="3">
        <v>908.85</v>
      </c>
      <c r="N7" s="2">
        <f>K7-L7-M7-R7</f>
        <v>42.319999999999709</v>
      </c>
      <c r="O7" s="2">
        <f t="shared" ref="O7:O63" si="1">SUM(L7:N7)</f>
        <v>3010.8299999999995</v>
      </c>
      <c r="P7" s="18">
        <f t="shared" ref="P7:P63" si="2">SUM(K7-O7)</f>
        <v>8645.86</v>
      </c>
      <c r="Q7" s="24"/>
      <c r="R7" s="25">
        <v>8645.86</v>
      </c>
    </row>
    <row r="8" spans="1:19" x14ac:dyDescent="0.25">
      <c r="A8" s="42">
        <v>2</v>
      </c>
      <c r="B8" s="16" t="s">
        <v>55</v>
      </c>
      <c r="C8" s="14">
        <f>3469.63+418.3</f>
        <v>3887.9300000000003</v>
      </c>
      <c r="D8" s="27">
        <f>3169.18+332.78</f>
        <v>3501.96</v>
      </c>
      <c r="E8" s="27"/>
      <c r="F8" s="27"/>
      <c r="G8" s="27"/>
      <c r="H8" s="27"/>
      <c r="I8" s="30"/>
      <c r="J8" s="30"/>
      <c r="K8" s="12">
        <f t="shared" si="0"/>
        <v>7389.89</v>
      </c>
      <c r="L8" s="3">
        <v>901.53</v>
      </c>
      <c r="M8" s="3">
        <v>853.4</v>
      </c>
      <c r="N8" s="2">
        <f t="shared" ref="N8:N13" si="3">K8-L8-M8-R8</f>
        <v>127.8700000000008</v>
      </c>
      <c r="O8" s="2">
        <f t="shared" si="1"/>
        <v>1882.8000000000006</v>
      </c>
      <c r="P8" s="18">
        <f t="shared" si="2"/>
        <v>5507.09</v>
      </c>
      <c r="Q8" s="24"/>
      <c r="R8" s="25">
        <v>5507.09</v>
      </c>
    </row>
    <row r="9" spans="1:19" x14ac:dyDescent="0.25">
      <c r="A9" s="42">
        <v>3</v>
      </c>
      <c r="B9" s="16" t="s">
        <v>72</v>
      </c>
      <c r="C9" s="14">
        <f>6069.7+145.67</f>
        <v>6215.37</v>
      </c>
      <c r="D9" s="27">
        <v>1213.94</v>
      </c>
      <c r="E9" s="27"/>
      <c r="F9" s="27"/>
      <c r="G9" s="27"/>
      <c r="H9" s="27"/>
      <c r="I9" s="30"/>
      <c r="J9" s="30"/>
      <c r="K9" s="12">
        <f t="shared" ref="K9:K10" si="4">SUM(C9:I9)</f>
        <v>7429.3099999999995</v>
      </c>
      <c r="L9" s="3">
        <v>910.86</v>
      </c>
      <c r="M9" s="3">
        <v>858.91</v>
      </c>
      <c r="N9" s="2">
        <f t="shared" ref="N9:N10" si="5">K9-L9-M9-R9</f>
        <v>882.39000000000033</v>
      </c>
      <c r="O9" s="2">
        <f t="shared" ref="O9:O10" si="6">SUM(L9:N9)</f>
        <v>2652.1600000000003</v>
      </c>
      <c r="P9" s="18">
        <f t="shared" ref="P9:P10" si="7">SUM(K9-O9)</f>
        <v>4777.1499999999996</v>
      </c>
      <c r="Q9" s="24"/>
      <c r="R9" s="25">
        <v>4777.1499999999996</v>
      </c>
    </row>
    <row r="10" spans="1:19" x14ac:dyDescent="0.25">
      <c r="A10" s="42">
        <v>4</v>
      </c>
      <c r="B10" s="16" t="s">
        <v>74</v>
      </c>
      <c r="C10" s="14">
        <v>4324.45</v>
      </c>
      <c r="D10" s="27"/>
      <c r="E10" s="27"/>
      <c r="F10" s="27"/>
      <c r="G10" s="27"/>
      <c r="H10" s="27"/>
      <c r="I10" s="30"/>
      <c r="J10" s="30"/>
      <c r="K10" s="12">
        <f t="shared" si="4"/>
        <v>4324.45</v>
      </c>
      <c r="L10" s="3">
        <v>183.15</v>
      </c>
      <c r="M10" s="3">
        <v>424.23</v>
      </c>
      <c r="N10" s="2">
        <f t="shared" si="5"/>
        <v>7.3800000000001091</v>
      </c>
      <c r="O10" s="2">
        <f t="shared" si="6"/>
        <v>614.7600000000001</v>
      </c>
      <c r="P10" s="18">
        <f t="shared" si="7"/>
        <v>3709.6899999999996</v>
      </c>
      <c r="Q10" s="24"/>
      <c r="R10" s="25">
        <v>3709.69</v>
      </c>
    </row>
    <row r="11" spans="1:19" x14ac:dyDescent="0.25">
      <c r="A11" s="42">
        <v>5</v>
      </c>
      <c r="B11" s="16" t="s">
        <v>1</v>
      </c>
      <c r="C11" s="14">
        <v>4702.63</v>
      </c>
      <c r="D11" s="27"/>
      <c r="E11" s="27"/>
      <c r="F11" s="27"/>
      <c r="G11" s="27"/>
      <c r="H11" s="27"/>
      <c r="I11" s="30"/>
      <c r="J11" s="30"/>
      <c r="K11" s="12">
        <f t="shared" si="0"/>
        <v>4702.63</v>
      </c>
      <c r="L11" s="3">
        <v>268.24</v>
      </c>
      <c r="M11" s="3">
        <v>477.18</v>
      </c>
      <c r="N11" s="2">
        <f t="shared" si="3"/>
        <v>1447.6200000000003</v>
      </c>
      <c r="O11" s="2">
        <f t="shared" si="1"/>
        <v>2193.0400000000004</v>
      </c>
      <c r="P11" s="18">
        <f>SUM(K11-O11)+H11</f>
        <v>2509.5899999999997</v>
      </c>
      <c r="Q11" s="24"/>
      <c r="R11" s="25">
        <v>2509.59</v>
      </c>
      <c r="S11" s="1"/>
    </row>
    <row r="12" spans="1:19" x14ac:dyDescent="0.25">
      <c r="A12" s="42">
        <v>6</v>
      </c>
      <c r="B12" s="16" t="s">
        <v>2</v>
      </c>
      <c r="C12" s="14">
        <v>6099.45</v>
      </c>
      <c r="D12" s="27"/>
      <c r="E12" s="27"/>
      <c r="F12" s="27"/>
      <c r="G12" s="27"/>
      <c r="H12" s="27"/>
      <c r="I12" s="30"/>
      <c r="J12" s="30"/>
      <c r="K12" s="12">
        <f t="shared" si="0"/>
        <v>6099.45</v>
      </c>
      <c r="L12" s="3">
        <v>596.35</v>
      </c>
      <c r="M12" s="3">
        <v>672.73</v>
      </c>
      <c r="N12" s="2">
        <f t="shared" si="3"/>
        <v>990.099999999999</v>
      </c>
      <c r="O12" s="2">
        <f t="shared" si="1"/>
        <v>2259.1799999999989</v>
      </c>
      <c r="P12" s="18">
        <f t="shared" si="2"/>
        <v>3840.2700000000009</v>
      </c>
      <c r="Q12" s="24"/>
      <c r="R12" s="25">
        <v>3840.27</v>
      </c>
    </row>
    <row r="13" spans="1:19" x14ac:dyDescent="0.25">
      <c r="A13" s="42">
        <v>7</v>
      </c>
      <c r="B13" s="16" t="s">
        <v>70</v>
      </c>
      <c r="C13" s="14">
        <f>6069.7+218.51</f>
        <v>6288.21</v>
      </c>
      <c r="D13" s="27">
        <v>1213.94</v>
      </c>
      <c r="E13" s="27"/>
      <c r="F13" s="27"/>
      <c r="G13" s="27"/>
      <c r="H13" s="27"/>
      <c r="I13" s="30"/>
      <c r="J13" s="30"/>
      <c r="K13" s="12">
        <f t="shared" si="0"/>
        <v>7502.15</v>
      </c>
      <c r="L13" s="3">
        <v>928.09</v>
      </c>
      <c r="M13" s="3">
        <v>869.11</v>
      </c>
      <c r="N13" s="2">
        <f t="shared" si="3"/>
        <v>7.3800000000001091</v>
      </c>
      <c r="O13" s="2">
        <f t="shared" si="1"/>
        <v>1804.5800000000002</v>
      </c>
      <c r="P13" s="18">
        <f t="shared" si="2"/>
        <v>5697.57</v>
      </c>
      <c r="Q13" s="24"/>
      <c r="R13" s="25">
        <v>5697.57</v>
      </c>
    </row>
    <row r="14" spans="1:19" x14ac:dyDescent="0.25">
      <c r="A14" s="42">
        <v>8</v>
      </c>
      <c r="B14" s="16" t="s">
        <v>3</v>
      </c>
      <c r="C14" s="14">
        <f>16557.45+8709.3</f>
        <v>25266.75</v>
      </c>
      <c r="D14" s="27">
        <f>1655.75+6622.98+47.54</f>
        <v>8326.27</v>
      </c>
      <c r="E14" s="27"/>
      <c r="F14" s="27"/>
      <c r="G14" s="27"/>
      <c r="H14" s="27"/>
      <c r="I14" s="30"/>
      <c r="J14" s="30"/>
      <c r="K14" s="12">
        <f t="shared" si="0"/>
        <v>33593.020000000004</v>
      </c>
      <c r="L14" s="3">
        <v>8092.15</v>
      </c>
      <c r="M14" s="3">
        <v>908.85</v>
      </c>
      <c r="N14" s="2">
        <f>K14-L14-M14-R14</f>
        <v>402.21000000000276</v>
      </c>
      <c r="O14" s="2">
        <f t="shared" si="1"/>
        <v>9403.2100000000028</v>
      </c>
      <c r="P14" s="18">
        <f t="shared" si="2"/>
        <v>24189.81</v>
      </c>
      <c r="Q14" s="24"/>
      <c r="R14" s="25">
        <v>24189.81</v>
      </c>
    </row>
    <row r="15" spans="1:19" x14ac:dyDescent="0.25">
      <c r="A15" s="42">
        <v>9</v>
      </c>
      <c r="B15" s="16" t="s">
        <v>83</v>
      </c>
      <c r="C15" s="14">
        <v>4281.63</v>
      </c>
      <c r="D15" s="27"/>
      <c r="E15" s="27"/>
      <c r="F15" s="27"/>
      <c r="G15" s="27"/>
      <c r="H15" s="27"/>
      <c r="I15" s="30"/>
      <c r="J15" s="30"/>
      <c r="K15" s="12">
        <f t="shared" ref="K15" si="8">SUM(C15:I15)</f>
        <v>4281.63</v>
      </c>
      <c r="L15" s="3">
        <v>176.08</v>
      </c>
      <c r="M15" s="3">
        <v>418.24</v>
      </c>
      <c r="N15" s="2">
        <f>K15-L15-M15-R15</f>
        <v>1208.7600000000002</v>
      </c>
      <c r="O15" s="2">
        <f t="shared" ref="O15" si="9">SUM(L15:N15)</f>
        <v>1803.0800000000004</v>
      </c>
      <c r="P15" s="18">
        <f t="shared" ref="P15" si="10">SUM(K15-O15)</f>
        <v>2478.5499999999997</v>
      </c>
      <c r="Q15" s="24"/>
      <c r="R15" s="25">
        <v>2478.5500000000002</v>
      </c>
    </row>
    <row r="16" spans="1:19" x14ac:dyDescent="0.25">
      <c r="A16" s="42">
        <v>10</v>
      </c>
      <c r="B16" s="16" t="s">
        <v>4</v>
      </c>
      <c r="C16" s="14">
        <f>16393.51+5737.73</f>
        <v>22131.239999999998</v>
      </c>
      <c r="D16" s="27">
        <v>6557.4</v>
      </c>
      <c r="E16" s="27"/>
      <c r="F16" s="46"/>
      <c r="G16" s="27"/>
      <c r="H16" s="27"/>
      <c r="I16" s="30"/>
      <c r="J16" s="30"/>
      <c r="K16" s="12">
        <f t="shared" ref="K16:K31" si="11">SUM(C16:I16)</f>
        <v>28688.639999999999</v>
      </c>
      <c r="L16" s="3">
        <v>6743.44</v>
      </c>
      <c r="M16" s="3">
        <v>908.85</v>
      </c>
      <c r="N16" s="2">
        <f t="shared" ref="N16:N41" si="12">K16-L16-M16-R16</f>
        <v>124.63000000000102</v>
      </c>
      <c r="O16" s="2">
        <f t="shared" si="1"/>
        <v>7776.920000000001</v>
      </c>
      <c r="P16" s="18">
        <f t="shared" si="2"/>
        <v>20911.719999999998</v>
      </c>
      <c r="Q16" s="24"/>
      <c r="R16" s="25">
        <v>20911.72</v>
      </c>
    </row>
    <row r="17" spans="1:18" x14ac:dyDescent="0.25">
      <c r="A17" s="42">
        <v>11</v>
      </c>
      <c r="B17" s="16" t="s">
        <v>5</v>
      </c>
      <c r="C17" s="14">
        <f>4191.69+635.39</f>
        <v>4827.08</v>
      </c>
      <c r="D17" s="27">
        <v>1584.61</v>
      </c>
      <c r="E17" s="27"/>
      <c r="F17" s="27"/>
      <c r="G17" s="27"/>
      <c r="H17" s="27"/>
      <c r="I17" s="30"/>
      <c r="J17" s="30"/>
      <c r="K17" s="12">
        <f t="shared" si="11"/>
        <v>6411.69</v>
      </c>
      <c r="L17" s="3">
        <v>670.19</v>
      </c>
      <c r="M17" s="3">
        <v>716.45</v>
      </c>
      <c r="N17" s="2">
        <f t="shared" si="12"/>
        <v>63.279999999999745</v>
      </c>
      <c r="O17" s="2">
        <f t="shared" si="1"/>
        <v>1449.9199999999998</v>
      </c>
      <c r="P17" s="18">
        <f t="shared" si="2"/>
        <v>4961.7699999999995</v>
      </c>
      <c r="Q17" s="24"/>
      <c r="R17" s="25">
        <v>4961.7700000000004</v>
      </c>
    </row>
    <row r="18" spans="1:18" x14ac:dyDescent="0.25">
      <c r="A18" s="42">
        <v>12</v>
      </c>
      <c r="B18" s="16" t="s">
        <v>6</v>
      </c>
      <c r="C18" s="14">
        <v>4287.33</v>
      </c>
      <c r="D18" s="27"/>
      <c r="E18" s="27"/>
      <c r="F18" s="27"/>
      <c r="G18" s="27"/>
      <c r="H18" s="27"/>
      <c r="I18" s="30"/>
      <c r="J18" s="30"/>
      <c r="K18" s="12">
        <f t="shared" si="11"/>
        <v>4287.33</v>
      </c>
      <c r="L18" s="3">
        <v>176.94</v>
      </c>
      <c r="M18" s="3">
        <v>419.04</v>
      </c>
      <c r="N18" s="2">
        <f t="shared" si="12"/>
        <v>437.43000000000029</v>
      </c>
      <c r="O18" s="2">
        <f t="shared" si="1"/>
        <v>1033.4100000000003</v>
      </c>
      <c r="P18" s="18">
        <f t="shared" si="2"/>
        <v>3253.9199999999996</v>
      </c>
      <c r="Q18" s="24"/>
      <c r="R18" s="25">
        <v>3253.92</v>
      </c>
    </row>
    <row r="19" spans="1:18" x14ac:dyDescent="0.25">
      <c r="A19" s="42">
        <v>13</v>
      </c>
      <c r="B19" s="16" t="s">
        <v>7</v>
      </c>
      <c r="C19" s="14">
        <f>7630.6+1835.96</f>
        <v>9466.5600000000013</v>
      </c>
      <c r="D19" s="27">
        <v>3169.18</v>
      </c>
      <c r="E19" s="27"/>
      <c r="F19" s="27"/>
      <c r="G19" s="27"/>
      <c r="H19" s="27"/>
      <c r="I19" s="30"/>
      <c r="J19" s="30"/>
      <c r="K19" s="12">
        <f t="shared" si="11"/>
        <v>12635.740000000002</v>
      </c>
      <c r="L19" s="3">
        <v>2172.48</v>
      </c>
      <c r="M19" s="3">
        <v>908.85</v>
      </c>
      <c r="N19" s="2">
        <f t="shared" si="12"/>
        <v>684.44000000000233</v>
      </c>
      <c r="O19" s="2">
        <f t="shared" si="1"/>
        <v>3765.7700000000023</v>
      </c>
      <c r="P19" s="18">
        <f t="shared" si="2"/>
        <v>8869.9699999999993</v>
      </c>
      <c r="Q19" s="24"/>
      <c r="R19" s="25">
        <v>8869.9699999999993</v>
      </c>
    </row>
    <row r="20" spans="1:18" x14ac:dyDescent="0.25">
      <c r="A20" s="42">
        <v>14</v>
      </c>
      <c r="B20" s="16" t="s">
        <v>79</v>
      </c>
      <c r="C20" s="14">
        <f>2220.7+22.2</f>
        <v>2242.8999999999996</v>
      </c>
      <c r="D20" s="27"/>
      <c r="E20" s="27"/>
      <c r="F20" s="27">
        <f>797.77+265.92+199.8+66.6</f>
        <v>1330.09</v>
      </c>
      <c r="G20" s="27"/>
      <c r="H20" s="27">
        <v>1329.62</v>
      </c>
      <c r="I20" s="30"/>
      <c r="J20" s="30"/>
      <c r="K20" s="12">
        <f t="shared" ref="K20" si="13">SUM(C20:I20)</f>
        <v>4902.6099999999997</v>
      </c>
      <c r="L20" s="3"/>
      <c r="M20" s="3">
        <f>247.8+79.77</f>
        <v>327.57</v>
      </c>
      <c r="N20" s="2">
        <f t="shared" ref="N20" si="14">K20-L20-M20-R20</f>
        <v>2320.92</v>
      </c>
      <c r="O20" s="2">
        <f t="shared" ref="O20" si="15">SUM(L20:N20)</f>
        <v>2648.4900000000002</v>
      </c>
      <c r="P20" s="18">
        <f t="shared" ref="P20" si="16">SUM(K20-O20)</f>
        <v>2254.1199999999994</v>
      </c>
      <c r="Q20" s="24"/>
      <c r="R20" s="25">
        <v>2254.12</v>
      </c>
    </row>
    <row r="21" spans="1:18" x14ac:dyDescent="0.25">
      <c r="A21" s="42">
        <v>15</v>
      </c>
      <c r="B21" s="16" t="s">
        <v>8</v>
      </c>
      <c r="C21" s="14">
        <v>4466.84</v>
      </c>
      <c r="D21" s="27"/>
      <c r="E21" s="27"/>
      <c r="F21" s="27"/>
      <c r="G21" s="27"/>
      <c r="H21" s="27"/>
      <c r="I21" s="30"/>
      <c r="J21" s="30"/>
      <c r="K21" s="12">
        <f t="shared" si="11"/>
        <v>4466.84</v>
      </c>
      <c r="L21" s="3">
        <v>215.19</v>
      </c>
      <c r="M21" s="3">
        <v>444.17</v>
      </c>
      <c r="N21" s="2">
        <f t="shared" si="12"/>
        <v>7.3800000000005639</v>
      </c>
      <c r="O21" s="2">
        <f t="shared" si="1"/>
        <v>666.74000000000058</v>
      </c>
      <c r="P21" s="18">
        <f t="shared" si="2"/>
        <v>3800.0999999999995</v>
      </c>
      <c r="Q21" s="24"/>
      <c r="R21" s="25">
        <v>3800.1</v>
      </c>
    </row>
    <row r="22" spans="1:18" x14ac:dyDescent="0.25">
      <c r="A22" s="42">
        <v>16</v>
      </c>
      <c r="B22" s="16" t="s">
        <v>85</v>
      </c>
      <c r="C22" s="14">
        <v>4281.63</v>
      </c>
      <c r="D22" s="27"/>
      <c r="E22" s="27"/>
      <c r="F22" s="27"/>
      <c r="G22" s="27"/>
      <c r="H22" s="27"/>
      <c r="I22" s="30"/>
      <c r="J22" s="30"/>
      <c r="K22" s="12">
        <f t="shared" si="11"/>
        <v>4281.63</v>
      </c>
      <c r="L22" s="3">
        <v>176.08</v>
      </c>
      <c r="M22" s="3">
        <v>418.24</v>
      </c>
      <c r="N22" s="2">
        <f t="shared" ref="N22" si="17">K22-L22-M22-R22</f>
        <v>42.320000000000618</v>
      </c>
      <c r="O22" s="2">
        <f t="shared" ref="O22" si="18">SUM(L22:N22)</f>
        <v>636.64000000000067</v>
      </c>
      <c r="P22" s="18">
        <f t="shared" ref="P22" si="19">SUM(K22-O22)</f>
        <v>3644.9899999999993</v>
      </c>
      <c r="Q22" s="24"/>
      <c r="R22" s="25">
        <v>3644.99</v>
      </c>
    </row>
    <row r="23" spans="1:18" x14ac:dyDescent="0.25">
      <c r="A23" s="42">
        <v>17</v>
      </c>
      <c r="B23" s="16" t="s">
        <v>9</v>
      </c>
      <c r="C23" s="14">
        <f>9144.86+5802.42</f>
        <v>14947.28</v>
      </c>
      <c r="D23" s="27">
        <v>12345.56</v>
      </c>
      <c r="E23" s="27"/>
      <c r="F23" s="27">
        <f>25546.03+8515.34+1746.81+582.27</f>
        <v>36390.44999999999</v>
      </c>
      <c r="G23" s="27"/>
      <c r="H23" s="27">
        <v>25546.03</v>
      </c>
      <c r="I23" s="30"/>
      <c r="J23" s="30"/>
      <c r="K23" s="12">
        <f t="shared" si="11"/>
        <v>89229.319999999992</v>
      </c>
      <c r="L23" s="3">
        <f>1866.1+8220.94</f>
        <v>10087.040000000001</v>
      </c>
      <c r="M23" s="3">
        <v>908.85</v>
      </c>
      <c r="N23" s="2">
        <f t="shared" si="12"/>
        <v>61386.259999999995</v>
      </c>
      <c r="O23" s="2">
        <f t="shared" si="1"/>
        <v>72382.149999999994</v>
      </c>
      <c r="P23" s="18">
        <f t="shared" si="2"/>
        <v>16847.169999999998</v>
      </c>
      <c r="Q23" s="24"/>
      <c r="R23" s="25">
        <v>16847.169999999998</v>
      </c>
    </row>
    <row r="24" spans="1:18" x14ac:dyDescent="0.25">
      <c r="A24" s="42">
        <v>18</v>
      </c>
      <c r="B24" s="16" t="s">
        <v>10</v>
      </c>
      <c r="C24" s="14">
        <f>16557.45+5960.68</f>
        <v>22518.13</v>
      </c>
      <c r="D24" s="27">
        <v>3311.49</v>
      </c>
      <c r="E24" s="27"/>
      <c r="F24" s="27"/>
      <c r="G24" s="27"/>
      <c r="H24" s="27"/>
      <c r="I24" s="30"/>
      <c r="J24" s="30"/>
      <c r="K24" s="12">
        <f t="shared" si="11"/>
        <v>25829.620000000003</v>
      </c>
      <c r="L24" s="3">
        <v>5905.07</v>
      </c>
      <c r="M24" s="3">
        <v>908.85</v>
      </c>
      <c r="N24" s="2">
        <f t="shared" si="12"/>
        <v>1525.7600000000057</v>
      </c>
      <c r="O24" s="2">
        <f t="shared" si="1"/>
        <v>8339.6800000000057</v>
      </c>
      <c r="P24" s="18">
        <f t="shared" si="2"/>
        <v>17489.939999999995</v>
      </c>
      <c r="Q24" s="24"/>
      <c r="R24" s="25">
        <v>17489.939999999999</v>
      </c>
    </row>
    <row r="25" spans="1:18" x14ac:dyDescent="0.25">
      <c r="A25" s="42">
        <v>19</v>
      </c>
      <c r="B25" s="16" t="s">
        <v>11</v>
      </c>
      <c r="C25" s="14">
        <f>7768.09+2154.12</f>
        <v>9922.2099999999991</v>
      </c>
      <c r="D25" s="27">
        <v>517</v>
      </c>
      <c r="E25" s="27"/>
      <c r="F25" s="27"/>
      <c r="G25" s="27"/>
      <c r="H25" s="27"/>
      <c r="I25" s="30"/>
      <c r="J25" s="30"/>
      <c r="K25" s="12">
        <f t="shared" si="11"/>
        <v>10439.209999999999</v>
      </c>
      <c r="L25" s="3">
        <v>1620.57</v>
      </c>
      <c r="M25" s="3">
        <v>908.85</v>
      </c>
      <c r="N25" s="2">
        <f t="shared" si="12"/>
        <v>2130.0599999999995</v>
      </c>
      <c r="O25" s="2">
        <f t="shared" si="1"/>
        <v>4659.4799999999996</v>
      </c>
      <c r="P25" s="18">
        <f t="shared" si="2"/>
        <v>5779.73</v>
      </c>
      <c r="Q25" s="24"/>
      <c r="R25" s="25">
        <v>5779.73</v>
      </c>
    </row>
    <row r="26" spans="1:18" x14ac:dyDescent="0.25">
      <c r="A26" s="42">
        <v>20</v>
      </c>
      <c r="B26" s="16" t="s">
        <v>73</v>
      </c>
      <c r="C26" s="14">
        <f>16393.51+5901.66</f>
        <v>22295.17</v>
      </c>
      <c r="D26" s="27">
        <v>3278.7</v>
      </c>
      <c r="E26" s="27"/>
      <c r="F26" s="27"/>
      <c r="G26" s="27"/>
      <c r="H26" s="27"/>
      <c r="I26" s="30"/>
      <c r="J26" s="30"/>
      <c r="K26" s="12">
        <f t="shared" si="11"/>
        <v>25573.87</v>
      </c>
      <c r="L26" s="3">
        <v>5834.74</v>
      </c>
      <c r="M26" s="3">
        <v>908.85</v>
      </c>
      <c r="N26" s="2">
        <f t="shared" si="12"/>
        <v>5978.5599999999995</v>
      </c>
      <c r="O26" s="2">
        <f t="shared" si="1"/>
        <v>12722.15</v>
      </c>
      <c r="P26" s="18">
        <f t="shared" si="2"/>
        <v>12851.72</v>
      </c>
      <c r="Q26" s="24"/>
      <c r="R26" s="25">
        <v>12851.72</v>
      </c>
    </row>
    <row r="27" spans="1:18" x14ac:dyDescent="0.25">
      <c r="A27" s="42">
        <v>21</v>
      </c>
      <c r="B27" s="16" t="s">
        <v>12</v>
      </c>
      <c r="C27" s="14">
        <v>10331.56</v>
      </c>
      <c r="D27" s="27"/>
      <c r="E27" s="27"/>
      <c r="F27" s="27"/>
      <c r="G27" s="27"/>
      <c r="H27" s="27"/>
      <c r="I27" s="30"/>
      <c r="J27" s="30"/>
      <c r="K27" s="12">
        <f t="shared" si="11"/>
        <v>10331.56</v>
      </c>
      <c r="L27" s="3">
        <v>1643.11</v>
      </c>
      <c r="M27" s="3">
        <v>908.85</v>
      </c>
      <c r="N27" s="2">
        <f t="shared" si="12"/>
        <v>1690.3099999999986</v>
      </c>
      <c r="O27" s="2">
        <f t="shared" si="1"/>
        <v>4242.2699999999986</v>
      </c>
      <c r="P27" s="18">
        <f>SUM(K27-O27)+H27</f>
        <v>6089.2900000000009</v>
      </c>
      <c r="Q27" s="24"/>
      <c r="R27" s="25">
        <v>6089.29</v>
      </c>
    </row>
    <row r="28" spans="1:18" x14ac:dyDescent="0.25">
      <c r="A28" s="42">
        <v>22</v>
      </c>
      <c r="B28" s="16" t="s">
        <v>13</v>
      </c>
      <c r="C28" s="14">
        <v>11049.38</v>
      </c>
      <c r="D28" s="27"/>
      <c r="E28" s="27"/>
      <c r="F28" s="27"/>
      <c r="G28" s="27"/>
      <c r="H28" s="27"/>
      <c r="I28" s="30"/>
      <c r="J28" s="30"/>
      <c r="K28" s="12">
        <f t="shared" si="11"/>
        <v>11049.38</v>
      </c>
      <c r="L28" s="3">
        <v>1892.65</v>
      </c>
      <c r="M28" s="3">
        <v>908.85</v>
      </c>
      <c r="N28" s="2">
        <f t="shared" si="12"/>
        <v>7.3799999999991996</v>
      </c>
      <c r="O28" s="2">
        <f t="shared" si="1"/>
        <v>2808.8799999999992</v>
      </c>
      <c r="P28" s="18">
        <f t="shared" si="2"/>
        <v>8240.5</v>
      </c>
      <c r="Q28" s="24"/>
      <c r="R28" s="25">
        <v>8240.5</v>
      </c>
    </row>
    <row r="29" spans="1:18" x14ac:dyDescent="0.25">
      <c r="A29" s="42">
        <v>23</v>
      </c>
      <c r="B29" s="16" t="s">
        <v>14</v>
      </c>
      <c r="C29" s="14">
        <f>6808.75+2014.41</f>
        <v>8823.16</v>
      </c>
      <c r="D29" s="27">
        <v>1584.61</v>
      </c>
      <c r="E29" s="27"/>
      <c r="F29" s="27"/>
      <c r="G29" s="27"/>
      <c r="H29" s="30"/>
      <c r="I29" s="30"/>
      <c r="J29" s="30"/>
      <c r="K29" s="12">
        <f t="shared" si="11"/>
        <v>10407.77</v>
      </c>
      <c r="L29" s="3">
        <v>1611.93</v>
      </c>
      <c r="M29" s="3">
        <v>908.85</v>
      </c>
      <c r="N29" s="2">
        <f t="shared" si="12"/>
        <v>850.19999999999982</v>
      </c>
      <c r="O29" s="2">
        <f t="shared" si="1"/>
        <v>3370.98</v>
      </c>
      <c r="P29" s="18">
        <f t="shared" si="2"/>
        <v>7036.7900000000009</v>
      </c>
      <c r="Q29" s="24"/>
      <c r="R29" s="25">
        <v>7036.79</v>
      </c>
    </row>
    <row r="30" spans="1:18" x14ac:dyDescent="0.25">
      <c r="A30" s="42">
        <v>24</v>
      </c>
      <c r="B30" s="16" t="s">
        <v>82</v>
      </c>
      <c r="C30" s="14">
        <v>4281.63</v>
      </c>
      <c r="D30" s="27">
        <v>332.78</v>
      </c>
      <c r="E30" s="27"/>
      <c r="F30" s="27"/>
      <c r="G30" s="27"/>
      <c r="H30" s="27"/>
      <c r="I30" s="30"/>
      <c r="J30" s="30"/>
      <c r="K30" s="12">
        <f t="shared" ref="K30" si="20">SUM(C30:I30)</f>
        <v>4614.41</v>
      </c>
      <c r="L30" s="3">
        <v>248.39</v>
      </c>
      <c r="M30" s="3">
        <v>464.83</v>
      </c>
      <c r="N30" s="2">
        <f t="shared" ref="N30" si="21">K30-L30-M30-R30</f>
        <v>42.319999999999709</v>
      </c>
      <c r="O30" s="2">
        <f t="shared" ref="O30" si="22">SUM(L30:N30)</f>
        <v>755.53999999999974</v>
      </c>
      <c r="P30" s="18">
        <f t="shared" ref="P30" si="23">SUM(K30-O30)</f>
        <v>3858.87</v>
      </c>
      <c r="Q30" s="24"/>
      <c r="R30" s="25">
        <v>3858.87</v>
      </c>
    </row>
    <row r="31" spans="1:18" x14ac:dyDescent="0.25">
      <c r="A31" s="42">
        <v>25</v>
      </c>
      <c r="B31" s="16" t="s">
        <v>15</v>
      </c>
      <c r="C31" s="14">
        <v>9665.14</v>
      </c>
      <c r="D31" s="27"/>
      <c r="E31" s="27"/>
      <c r="F31" s="27"/>
      <c r="G31" s="27"/>
      <c r="H31" s="27"/>
      <c r="I31" s="30"/>
      <c r="J31" s="30"/>
      <c r="K31" s="12">
        <f t="shared" si="11"/>
        <v>9665.14</v>
      </c>
      <c r="L31" s="3">
        <v>1511.98</v>
      </c>
      <c r="M31" s="3">
        <v>908.85</v>
      </c>
      <c r="N31" s="2">
        <f t="shared" si="12"/>
        <v>309.30999999999949</v>
      </c>
      <c r="O31" s="2">
        <f t="shared" si="1"/>
        <v>2730.1399999999994</v>
      </c>
      <c r="P31" s="18">
        <f t="shared" si="2"/>
        <v>6935</v>
      </c>
      <c r="Q31" s="24"/>
      <c r="R31" s="25">
        <v>6935</v>
      </c>
    </row>
    <row r="32" spans="1:18" x14ac:dyDescent="0.25">
      <c r="A32" s="42">
        <v>26</v>
      </c>
      <c r="B32" s="16" t="s">
        <v>56</v>
      </c>
      <c r="C32" s="14">
        <f>4087.39+204.37</f>
        <v>4291.76</v>
      </c>
      <c r="D32" s="27"/>
      <c r="E32" s="27"/>
      <c r="F32" s="27">
        <f>2567.18+855.73+293.99+98</f>
        <v>3814.8999999999996</v>
      </c>
      <c r="G32" s="27"/>
      <c r="H32" s="27"/>
      <c r="I32" s="30"/>
      <c r="J32" s="30"/>
      <c r="K32" s="12">
        <f>SUM(C32:I32)</f>
        <v>8106.66</v>
      </c>
      <c r="L32" s="3">
        <f>256.23+47.28</f>
        <v>303.51</v>
      </c>
      <c r="M32" s="3">
        <f>599.29+309.56</f>
        <v>908.84999999999991</v>
      </c>
      <c r="N32" s="2">
        <f t="shared" ref="N32" si="24">K32-L32-M32-R32</f>
        <v>3108.3899999999994</v>
      </c>
      <c r="O32" s="2">
        <f t="shared" ref="O32" si="25">SUM(L32:N32)</f>
        <v>4320.7499999999991</v>
      </c>
      <c r="P32" s="18">
        <f>SUM(K32-O32)+H32</f>
        <v>3785.9100000000008</v>
      </c>
      <c r="Q32" s="24"/>
      <c r="R32" s="25">
        <v>3785.91</v>
      </c>
    </row>
    <row r="33" spans="1:18" x14ac:dyDescent="0.25">
      <c r="A33" s="42">
        <v>27</v>
      </c>
      <c r="B33" s="16" t="s">
        <v>16</v>
      </c>
      <c r="C33" s="14">
        <f>2742.17+658.12</f>
        <v>3400.29</v>
      </c>
      <c r="D33" s="27"/>
      <c r="E33" s="27"/>
      <c r="F33" s="27">
        <f>561.96+187.32+118.1+39.37</f>
        <v>906.75</v>
      </c>
      <c r="G33" s="27">
        <f>1123.92+374.64+236.19+78.73</f>
        <v>1813.48</v>
      </c>
      <c r="H33" s="27">
        <v>1685.89</v>
      </c>
      <c r="I33" s="30"/>
      <c r="J33" s="30"/>
      <c r="K33" s="12">
        <f>SUM(C33:I33)</f>
        <v>7806.4100000000008</v>
      </c>
      <c r="L33" s="3">
        <v>67.5</v>
      </c>
      <c r="M33" s="3">
        <f>365.61+56.19</f>
        <v>421.8</v>
      </c>
      <c r="N33" s="2">
        <f t="shared" si="12"/>
        <v>4661.7300000000005</v>
      </c>
      <c r="O33" s="2">
        <f t="shared" si="1"/>
        <v>5151.0300000000007</v>
      </c>
      <c r="P33" s="18">
        <f>SUM(K33-O33)+H33</f>
        <v>4341.2700000000004</v>
      </c>
      <c r="Q33" s="24"/>
      <c r="R33" s="25">
        <v>2655.38</v>
      </c>
    </row>
    <row r="34" spans="1:18" x14ac:dyDescent="0.25">
      <c r="A34" s="42">
        <v>28</v>
      </c>
      <c r="B34" s="16" t="s">
        <v>17</v>
      </c>
      <c r="C34" s="14">
        <f>3777.53+679.96</f>
        <v>4457.49</v>
      </c>
      <c r="D34" s="27">
        <v>755.51</v>
      </c>
      <c r="E34" s="27"/>
      <c r="F34" s="27">
        <f>4703.04+1567.68+509.95+169.98</f>
        <v>6950.65</v>
      </c>
      <c r="G34" s="27"/>
      <c r="H34" s="27">
        <v>4703.04</v>
      </c>
      <c r="I34" s="30"/>
      <c r="J34" s="30"/>
      <c r="K34" s="12">
        <f>SUM(C34:I34)</f>
        <v>16866.689999999999</v>
      </c>
      <c r="L34" s="3">
        <f>595.87+636.85</f>
        <v>1232.72</v>
      </c>
      <c r="M34" s="3">
        <f>212.14+696.71</f>
        <v>908.85</v>
      </c>
      <c r="N34" s="2">
        <f t="shared" si="12"/>
        <v>9707.5199999999986</v>
      </c>
      <c r="O34" s="2">
        <f t="shared" si="1"/>
        <v>11849.089999999998</v>
      </c>
      <c r="P34" s="18">
        <f t="shared" si="2"/>
        <v>5017.6000000000004</v>
      </c>
      <c r="Q34" s="24"/>
      <c r="R34" s="25">
        <v>5017.6000000000004</v>
      </c>
    </row>
    <row r="35" spans="1:18" x14ac:dyDescent="0.25">
      <c r="A35" s="42">
        <v>29</v>
      </c>
      <c r="B35" s="16" t="s">
        <v>18</v>
      </c>
      <c r="C35" s="14">
        <f>16393.51+5311.5</f>
        <v>21705.01</v>
      </c>
      <c r="D35" s="27">
        <v>3278.7</v>
      </c>
      <c r="E35" s="27"/>
      <c r="F35" s="27"/>
      <c r="G35" s="27"/>
      <c r="H35" s="27"/>
      <c r="I35" s="30"/>
      <c r="J35" s="30"/>
      <c r="K35" s="12">
        <f t="shared" ref="K35:K41" si="26">SUM(C35:I35)</f>
        <v>24983.71</v>
      </c>
      <c r="L35" s="3">
        <v>5724.59</v>
      </c>
      <c r="M35" s="3">
        <v>908.85</v>
      </c>
      <c r="N35" s="2">
        <f t="shared" si="12"/>
        <v>244.7400000000016</v>
      </c>
      <c r="O35" s="2">
        <f t="shared" si="1"/>
        <v>6878.1800000000021</v>
      </c>
      <c r="P35" s="18">
        <f t="shared" si="2"/>
        <v>18105.53</v>
      </c>
      <c r="Q35" s="24"/>
      <c r="R35" s="25">
        <v>18105.53</v>
      </c>
    </row>
    <row r="36" spans="1:18" x14ac:dyDescent="0.25">
      <c r="A36" s="42">
        <v>30</v>
      </c>
      <c r="B36" s="16" t="s">
        <v>75</v>
      </c>
      <c r="C36" s="14">
        <f>4909.33+58.91</f>
        <v>4968.24</v>
      </c>
      <c r="D36" s="27">
        <v>981.87</v>
      </c>
      <c r="E36" s="27"/>
      <c r="F36" s="27">
        <f>1062.98+354.33+127.04+42.35</f>
        <v>1586.6999999999998</v>
      </c>
      <c r="G36" s="27">
        <f>2125.96+708.65+254.08+84.69</f>
        <v>3173.38</v>
      </c>
      <c r="H36" s="27">
        <v>3188.95</v>
      </c>
      <c r="I36" s="30"/>
      <c r="J36" s="30"/>
      <c r="K36" s="12">
        <f t="shared" si="26"/>
        <v>13899.14</v>
      </c>
      <c r="L36" s="3">
        <v>602.41</v>
      </c>
      <c r="M36" s="3">
        <f>767.59+106.37</f>
        <v>873.96</v>
      </c>
      <c r="N36" s="2">
        <f t="shared" ref="N36" si="27">K36-L36-M36-R36</f>
        <v>7341.88</v>
      </c>
      <c r="O36" s="2">
        <f t="shared" ref="O36" si="28">SUM(L36:N36)</f>
        <v>8818.25</v>
      </c>
      <c r="P36" s="18">
        <f t="shared" ref="P36" si="29">SUM(K36-O36)</f>
        <v>5080.8899999999994</v>
      </c>
      <c r="Q36" s="24"/>
      <c r="R36" s="25">
        <v>5080.8900000000003</v>
      </c>
    </row>
    <row r="37" spans="1:18" x14ac:dyDescent="0.25">
      <c r="A37" s="42">
        <v>31</v>
      </c>
      <c r="B37" s="16" t="s">
        <v>57</v>
      </c>
      <c r="C37" s="14">
        <f>7332.86+1231.92</f>
        <v>8564.7799999999988</v>
      </c>
      <c r="D37" s="27">
        <v>1466.57</v>
      </c>
      <c r="E37" s="27"/>
      <c r="F37" s="27"/>
      <c r="G37" s="27"/>
      <c r="H37" s="27"/>
      <c r="I37" s="30"/>
      <c r="J37" s="30"/>
      <c r="K37" s="12">
        <f t="shared" si="26"/>
        <v>10031.349999999999</v>
      </c>
      <c r="L37" s="3">
        <v>1612.69</v>
      </c>
      <c r="M37" s="3">
        <v>908.85</v>
      </c>
      <c r="N37" s="2">
        <f t="shared" si="12"/>
        <v>842.28999999999724</v>
      </c>
      <c r="O37" s="2">
        <f t="shared" si="1"/>
        <v>3363.8299999999972</v>
      </c>
      <c r="P37" s="18">
        <f t="shared" si="2"/>
        <v>6667.5200000000013</v>
      </c>
      <c r="Q37" s="24"/>
      <c r="R37" s="25">
        <v>6667.52</v>
      </c>
    </row>
    <row r="38" spans="1:18" x14ac:dyDescent="0.25">
      <c r="A38" s="42">
        <v>32</v>
      </c>
      <c r="B38" s="16" t="s">
        <v>19</v>
      </c>
      <c r="C38" s="14">
        <f>7046.73+949.01</f>
        <v>7995.74</v>
      </c>
      <c r="D38" s="27">
        <f>1034+1409.35</f>
        <v>2443.35</v>
      </c>
      <c r="E38" s="27"/>
      <c r="F38" s="27"/>
      <c r="G38" s="27"/>
      <c r="H38" s="27"/>
      <c r="I38" s="30"/>
      <c r="J38" s="30"/>
      <c r="K38" s="12">
        <f t="shared" si="26"/>
        <v>10439.09</v>
      </c>
      <c r="L38" s="3">
        <v>1620.54</v>
      </c>
      <c r="M38" s="3">
        <v>908.85</v>
      </c>
      <c r="N38" s="2">
        <f t="shared" si="12"/>
        <v>2952.329999999999</v>
      </c>
      <c r="O38" s="2">
        <f t="shared" si="1"/>
        <v>5481.7199999999993</v>
      </c>
      <c r="P38" s="18">
        <f>SUM(K38-O38)+H38</f>
        <v>4957.3700000000008</v>
      </c>
      <c r="Q38" s="24"/>
      <c r="R38" s="25">
        <v>4957.37</v>
      </c>
    </row>
    <row r="39" spans="1:18" x14ac:dyDescent="0.25">
      <c r="A39" s="42">
        <v>33</v>
      </c>
      <c r="B39" s="16" t="s">
        <v>54</v>
      </c>
      <c r="C39" s="14">
        <v>3641.4</v>
      </c>
      <c r="D39" s="27"/>
      <c r="E39" s="27"/>
      <c r="F39" s="27"/>
      <c r="G39" s="27"/>
      <c r="H39" s="27"/>
      <c r="I39" s="30"/>
      <c r="J39" s="30"/>
      <c r="K39" s="12">
        <f t="shared" si="26"/>
        <v>3641.4</v>
      </c>
      <c r="L39" s="3">
        <v>80.05</v>
      </c>
      <c r="M39" s="3">
        <v>335.78</v>
      </c>
      <c r="N39" s="2">
        <f t="shared" ref="N39" si="30">K39-L39-M39-R39</f>
        <v>59.499999999999545</v>
      </c>
      <c r="O39" s="2">
        <f t="shared" ref="O39" si="31">SUM(L39:N39)</f>
        <v>475.32999999999953</v>
      </c>
      <c r="P39" s="18">
        <f t="shared" ref="P39" si="32">SUM(K39-O39)</f>
        <v>3166.0700000000006</v>
      </c>
      <c r="Q39" s="24"/>
      <c r="R39" s="25">
        <v>3166.07</v>
      </c>
    </row>
    <row r="40" spans="1:18" x14ac:dyDescent="0.25">
      <c r="A40" s="42">
        <v>34</v>
      </c>
      <c r="B40" s="16" t="s">
        <v>20</v>
      </c>
      <c r="C40" s="14">
        <f>4584.39+714.19</f>
        <v>5298.58</v>
      </c>
      <c r="D40" s="27">
        <v>517</v>
      </c>
      <c r="E40" s="27"/>
      <c r="F40" s="27"/>
      <c r="G40" s="27"/>
      <c r="H40" s="27"/>
      <c r="I40" s="30"/>
      <c r="J40" s="30"/>
      <c r="K40" s="12">
        <f t="shared" si="26"/>
        <v>5815.58</v>
      </c>
      <c r="L40" s="3">
        <v>529.21</v>
      </c>
      <c r="M40" s="3">
        <v>632.99</v>
      </c>
      <c r="N40" s="2">
        <f t="shared" si="12"/>
        <v>575.80000000000018</v>
      </c>
      <c r="O40" s="2">
        <f t="shared" si="1"/>
        <v>1738.0000000000002</v>
      </c>
      <c r="P40" s="18">
        <f t="shared" si="2"/>
        <v>4077.58</v>
      </c>
      <c r="Q40" s="24"/>
      <c r="R40" s="25">
        <v>4077.58</v>
      </c>
    </row>
    <row r="41" spans="1:18" x14ac:dyDescent="0.25">
      <c r="A41" s="42">
        <v>35</v>
      </c>
      <c r="B41" s="16" t="s">
        <v>21</v>
      </c>
      <c r="C41" s="14">
        <f>16723.02+5819.61</f>
        <v>22542.63</v>
      </c>
      <c r="D41" s="27">
        <v>3344.6</v>
      </c>
      <c r="E41" s="27"/>
      <c r="F41" s="27"/>
      <c r="G41" s="27"/>
      <c r="H41" s="27"/>
      <c r="I41" s="30"/>
      <c r="J41" s="30"/>
      <c r="K41" s="12">
        <f t="shared" si="26"/>
        <v>25887.23</v>
      </c>
      <c r="L41" s="3">
        <v>5868.8</v>
      </c>
      <c r="M41" s="3">
        <v>908.85</v>
      </c>
      <c r="N41" s="2">
        <f t="shared" si="12"/>
        <v>91.360000000000582</v>
      </c>
      <c r="O41" s="2">
        <f t="shared" si="1"/>
        <v>6869.0100000000011</v>
      </c>
      <c r="P41" s="18">
        <f t="shared" si="2"/>
        <v>19018.219999999998</v>
      </c>
      <c r="Q41" s="24"/>
      <c r="R41" s="25">
        <v>19018.22</v>
      </c>
    </row>
    <row r="42" spans="1:18" x14ac:dyDescent="0.25">
      <c r="A42" s="42">
        <v>36</v>
      </c>
      <c r="B42" s="32" t="s">
        <v>22</v>
      </c>
      <c r="C42" s="33">
        <v>3952.23</v>
      </c>
      <c r="D42" s="28"/>
      <c r="E42" s="28"/>
      <c r="F42" s="28"/>
      <c r="G42" s="27"/>
      <c r="H42" s="27"/>
      <c r="I42" s="30"/>
      <c r="J42" s="30"/>
      <c r="K42" s="34">
        <f t="shared" ref="K42:K51" si="33">SUM(C42:I42)</f>
        <v>3952.23</v>
      </c>
      <c r="L42" s="35">
        <v>126.67</v>
      </c>
      <c r="M42" s="35">
        <v>373.08</v>
      </c>
      <c r="N42" s="36">
        <f t="shared" ref="N42:N63" si="34">K42-L42-M42-R42</f>
        <v>827.13999999999987</v>
      </c>
      <c r="O42" s="36">
        <f t="shared" si="1"/>
        <v>1326.8899999999999</v>
      </c>
      <c r="P42" s="37">
        <f t="shared" si="2"/>
        <v>2625.34</v>
      </c>
      <c r="Q42" s="24"/>
      <c r="R42" s="25">
        <v>2625.34</v>
      </c>
    </row>
    <row r="43" spans="1:18" x14ac:dyDescent="0.25">
      <c r="A43" s="42">
        <v>37</v>
      </c>
      <c r="B43" s="32" t="s">
        <v>76</v>
      </c>
      <c r="C43" s="33">
        <v>4500.03</v>
      </c>
      <c r="D43" s="28"/>
      <c r="E43" s="28"/>
      <c r="F43" s="28"/>
      <c r="G43" s="27"/>
      <c r="H43" s="27"/>
      <c r="I43" s="30"/>
      <c r="J43" s="30"/>
      <c r="K43" s="34">
        <f t="shared" ref="K43" si="35">SUM(C43:I43)</f>
        <v>4500.03</v>
      </c>
      <c r="L43" s="35">
        <v>206.09</v>
      </c>
      <c r="M43" s="35">
        <v>448.82</v>
      </c>
      <c r="N43" s="36">
        <f t="shared" ref="N43" si="36">K43-L43-M43-R43</f>
        <v>208.75999999999931</v>
      </c>
      <c r="O43" s="36">
        <f t="shared" ref="O43" si="37">SUM(L43:N43)</f>
        <v>863.66999999999928</v>
      </c>
      <c r="P43" s="37">
        <f t="shared" ref="P43" si="38">SUM(K43-O43)</f>
        <v>3636.3600000000006</v>
      </c>
      <c r="Q43" s="24"/>
      <c r="R43" s="25">
        <v>3636.36</v>
      </c>
    </row>
    <row r="44" spans="1:18" x14ac:dyDescent="0.25">
      <c r="A44" s="42">
        <v>38</v>
      </c>
      <c r="B44" s="16" t="s">
        <v>23</v>
      </c>
      <c r="C44" s="14">
        <f>5538.44+1577.39</f>
        <v>7115.83</v>
      </c>
      <c r="D44" s="27">
        <v>1034</v>
      </c>
      <c r="E44" s="27"/>
      <c r="F44" s="27"/>
      <c r="G44" s="27"/>
      <c r="H44" s="27"/>
      <c r="I44" s="30"/>
      <c r="J44" s="30"/>
      <c r="K44" s="12">
        <f t="shared" si="33"/>
        <v>8149.83</v>
      </c>
      <c r="L44" s="3">
        <v>1095.27</v>
      </c>
      <c r="M44" s="3">
        <v>908.85</v>
      </c>
      <c r="N44" s="2">
        <f t="shared" si="34"/>
        <v>977.66999999999916</v>
      </c>
      <c r="O44" s="2">
        <f t="shared" si="1"/>
        <v>2981.7899999999991</v>
      </c>
      <c r="P44" s="18">
        <f t="shared" si="2"/>
        <v>5168.0400000000009</v>
      </c>
      <c r="Q44" s="24"/>
      <c r="R44" s="25">
        <v>5168.04</v>
      </c>
    </row>
    <row r="45" spans="1:18" x14ac:dyDescent="0.25">
      <c r="A45" s="42">
        <v>39</v>
      </c>
      <c r="B45" s="16" t="s">
        <v>24</v>
      </c>
      <c r="C45" s="14">
        <f>11206.77+1905.15</f>
        <v>13111.92</v>
      </c>
      <c r="D45" s="27"/>
      <c r="E45" s="27"/>
      <c r="F45" s="27"/>
      <c r="G45" s="27"/>
      <c r="H45" s="27"/>
      <c r="I45" s="30">
        <v>3408.63</v>
      </c>
      <c r="J45" s="30"/>
      <c r="K45" s="12">
        <f t="shared" si="33"/>
        <v>16520.55</v>
      </c>
      <c r="L45" s="3">
        <v>3345.08</v>
      </c>
      <c r="M45" s="3">
        <v>908.85</v>
      </c>
      <c r="N45" s="2">
        <f t="shared" si="34"/>
        <v>844.04999999999927</v>
      </c>
      <c r="O45" s="2">
        <f t="shared" si="1"/>
        <v>5097.9799999999996</v>
      </c>
      <c r="P45" s="18">
        <f t="shared" si="2"/>
        <v>11422.57</v>
      </c>
      <c r="Q45" s="24"/>
      <c r="R45" s="25">
        <v>11422.57</v>
      </c>
    </row>
    <row r="46" spans="1:18" x14ac:dyDescent="0.25">
      <c r="A46" s="42">
        <v>40</v>
      </c>
      <c r="B46" s="16" t="s">
        <v>25</v>
      </c>
      <c r="C46" s="14">
        <f>7979.45+4184.64</f>
        <v>12164.09</v>
      </c>
      <c r="D46" s="27">
        <f>7233.96+285.24</f>
        <v>7519.2</v>
      </c>
      <c r="E46" s="27"/>
      <c r="F46" s="27"/>
      <c r="G46" s="27"/>
      <c r="H46" s="27"/>
      <c r="I46" s="30"/>
      <c r="J46" s="30"/>
      <c r="K46" s="12">
        <f t="shared" si="33"/>
        <v>19683.29</v>
      </c>
      <c r="L46" s="3">
        <v>4266.97</v>
      </c>
      <c r="M46" s="3">
        <v>908.85</v>
      </c>
      <c r="N46" s="2">
        <f>K46-L46-M46-R46</f>
        <v>223.02999999999884</v>
      </c>
      <c r="O46" s="2">
        <f>SUM(L46:N46)</f>
        <v>5398.8499999999995</v>
      </c>
      <c r="P46" s="18">
        <f t="shared" si="2"/>
        <v>14284.440000000002</v>
      </c>
      <c r="Q46" s="24"/>
      <c r="R46" s="25">
        <v>14284.44</v>
      </c>
    </row>
    <row r="47" spans="1:18" x14ac:dyDescent="0.25">
      <c r="A47" s="42">
        <v>41</v>
      </c>
      <c r="B47" s="16" t="s">
        <v>26</v>
      </c>
      <c r="C47" s="14">
        <f>7706.91+1572.21</f>
        <v>9279.119999999999</v>
      </c>
      <c r="D47" s="27">
        <v>1541.38</v>
      </c>
      <c r="E47" s="27"/>
      <c r="F47" s="27"/>
      <c r="G47" s="27"/>
      <c r="H47" s="27"/>
      <c r="I47" s="30"/>
      <c r="J47" s="30"/>
      <c r="K47" s="12">
        <f t="shared" si="33"/>
        <v>10820.5</v>
      </c>
      <c r="L47" s="3">
        <v>1725.43</v>
      </c>
      <c r="M47" s="3">
        <v>908.85</v>
      </c>
      <c r="N47" s="2">
        <f t="shared" si="34"/>
        <v>576.24999999999909</v>
      </c>
      <c r="O47" s="2">
        <f t="shared" si="1"/>
        <v>3210.5299999999993</v>
      </c>
      <c r="P47" s="18">
        <f t="shared" si="2"/>
        <v>7609.9700000000012</v>
      </c>
      <c r="Q47" s="24"/>
      <c r="R47" s="25">
        <v>7609.97</v>
      </c>
    </row>
    <row r="48" spans="1:18" x14ac:dyDescent="0.25">
      <c r="A48" s="42">
        <v>42</v>
      </c>
      <c r="B48" s="16" t="s">
        <v>84</v>
      </c>
      <c r="C48" s="14">
        <v>3204.15</v>
      </c>
      <c r="D48" s="27"/>
      <c r="E48" s="27"/>
      <c r="F48" s="27"/>
      <c r="G48" s="27"/>
      <c r="H48" s="27"/>
      <c r="I48" s="30"/>
      <c r="J48" s="30"/>
      <c r="K48" s="12">
        <f t="shared" si="33"/>
        <v>3204.15</v>
      </c>
      <c r="L48" s="3">
        <v>28.51</v>
      </c>
      <c r="M48" s="3">
        <v>283.31</v>
      </c>
      <c r="N48" s="2">
        <f t="shared" ref="N48" si="39">K48-L48-M48-R48</f>
        <v>38.579999999999927</v>
      </c>
      <c r="O48" s="2">
        <f t="shared" ref="O48" si="40">SUM(L48:N48)</f>
        <v>350.39999999999992</v>
      </c>
      <c r="P48" s="18">
        <f t="shared" ref="P48" si="41">SUM(K48-O48)</f>
        <v>2853.75</v>
      </c>
      <c r="Q48" s="24"/>
      <c r="R48" s="25">
        <v>2853.75</v>
      </c>
    </row>
    <row r="49" spans="1:18" x14ac:dyDescent="0.25">
      <c r="A49" s="42">
        <v>43</v>
      </c>
      <c r="B49" s="16" t="s">
        <v>27</v>
      </c>
      <c r="C49" s="14">
        <v>10686.59</v>
      </c>
      <c r="D49" s="27"/>
      <c r="E49" s="27"/>
      <c r="F49" s="27"/>
      <c r="G49" s="27"/>
      <c r="H49" s="27"/>
      <c r="I49" s="30"/>
      <c r="J49" s="30"/>
      <c r="K49" s="12">
        <f t="shared" si="33"/>
        <v>10686.59</v>
      </c>
      <c r="L49" s="3">
        <v>1740.74</v>
      </c>
      <c r="M49" s="3">
        <v>908.85</v>
      </c>
      <c r="N49" s="2">
        <f t="shared" si="34"/>
        <v>1441.2600000000002</v>
      </c>
      <c r="O49" s="2">
        <f t="shared" si="1"/>
        <v>4090.8500000000004</v>
      </c>
      <c r="P49" s="18">
        <f>SUM(K49-O49)+H49</f>
        <v>6595.74</v>
      </c>
      <c r="Q49" s="24"/>
      <c r="R49" s="25">
        <v>6595.74</v>
      </c>
    </row>
    <row r="50" spans="1:18" x14ac:dyDescent="0.25">
      <c r="A50" s="42">
        <v>44</v>
      </c>
      <c r="B50" s="16" t="s">
        <v>28</v>
      </c>
      <c r="C50" s="14">
        <f>6233.54+1047.23</f>
        <v>7280.77</v>
      </c>
      <c r="D50" s="27">
        <v>1246.71</v>
      </c>
      <c r="E50" s="27"/>
      <c r="F50" s="27">
        <f>1538.66+512.89+166.83+55.61</f>
        <v>2273.9900000000002</v>
      </c>
      <c r="G50" s="27">
        <f>3077.32+1025.77+333.67+111.22</f>
        <v>4547.9800000000005</v>
      </c>
      <c r="H50" s="27">
        <v>4615.99</v>
      </c>
      <c r="I50" s="30"/>
      <c r="J50" s="30"/>
      <c r="K50" s="12">
        <f t="shared" si="33"/>
        <v>19965.440000000002</v>
      </c>
      <c r="L50" s="3">
        <v>1327.51</v>
      </c>
      <c r="M50" s="3">
        <f>745.4+163.45</f>
        <v>908.84999999999991</v>
      </c>
      <c r="N50" s="2">
        <f t="shared" si="34"/>
        <v>11619.100000000006</v>
      </c>
      <c r="O50" s="2">
        <f t="shared" si="1"/>
        <v>13855.460000000006</v>
      </c>
      <c r="P50" s="18">
        <f>SUM(K50-O50)+H50</f>
        <v>10725.969999999996</v>
      </c>
      <c r="Q50" s="24"/>
      <c r="R50" s="25">
        <v>6109.98</v>
      </c>
    </row>
    <row r="51" spans="1:18" x14ac:dyDescent="0.25">
      <c r="A51" s="42">
        <v>45</v>
      </c>
      <c r="B51" s="16" t="s">
        <v>29</v>
      </c>
      <c r="C51" s="14">
        <v>6550.47</v>
      </c>
      <c r="D51" s="27"/>
      <c r="E51" s="27"/>
      <c r="F51" s="27"/>
      <c r="G51" s="27"/>
      <c r="H51" s="27"/>
      <c r="I51" s="30"/>
      <c r="J51" s="30"/>
      <c r="K51" s="12">
        <f t="shared" si="33"/>
        <v>6550.47</v>
      </c>
      <c r="L51" s="3">
        <v>650.88</v>
      </c>
      <c r="M51" s="3">
        <v>735.88</v>
      </c>
      <c r="N51" s="2">
        <f t="shared" si="34"/>
        <v>1196.42</v>
      </c>
      <c r="O51" s="2">
        <f t="shared" si="1"/>
        <v>2583.1800000000003</v>
      </c>
      <c r="P51" s="18">
        <f t="shared" si="2"/>
        <v>3967.29</v>
      </c>
      <c r="Q51" s="24"/>
      <c r="R51" s="25">
        <v>3967.29</v>
      </c>
    </row>
    <row r="52" spans="1:18" x14ac:dyDescent="0.25">
      <c r="A52" s="42">
        <v>46</v>
      </c>
      <c r="B52" s="16" t="s">
        <v>30</v>
      </c>
      <c r="C52" s="14">
        <f>7406.19+1555.3</f>
        <v>8961.49</v>
      </c>
      <c r="D52" s="27">
        <v>2962.48</v>
      </c>
      <c r="E52" s="27"/>
      <c r="F52" s="27"/>
      <c r="G52" s="27"/>
      <c r="H52" s="27"/>
      <c r="I52" s="30"/>
      <c r="J52" s="30"/>
      <c r="K52" s="12">
        <f t="shared" ref="K52:K60" si="42">SUM(C52:I52)</f>
        <v>11923.97</v>
      </c>
      <c r="L52" s="3">
        <v>2081.02</v>
      </c>
      <c r="M52" s="3">
        <v>908.85</v>
      </c>
      <c r="N52" s="2">
        <f t="shared" si="34"/>
        <v>267.7599999999984</v>
      </c>
      <c r="O52" s="2">
        <f t="shared" si="1"/>
        <v>3257.6299999999983</v>
      </c>
      <c r="P52" s="18">
        <f t="shared" si="2"/>
        <v>8666.34</v>
      </c>
      <c r="Q52" s="24"/>
      <c r="R52" s="25">
        <v>8666.34</v>
      </c>
    </row>
    <row r="53" spans="1:18" x14ac:dyDescent="0.25">
      <c r="A53" s="42">
        <v>47</v>
      </c>
      <c r="B53" s="16" t="s">
        <v>31</v>
      </c>
      <c r="C53" s="14">
        <f>6398.35+850.03</f>
        <v>7248.38</v>
      </c>
      <c r="D53" s="27">
        <v>1329.2</v>
      </c>
      <c r="E53" s="27"/>
      <c r="F53" s="27">
        <f>1569.76+523.25+134.19+44.73</f>
        <v>2271.9300000000003</v>
      </c>
      <c r="G53" s="27">
        <f>3139.52+1046.51+268.37+89.46</f>
        <v>4543.8599999999997</v>
      </c>
      <c r="H53" s="27"/>
      <c r="I53" s="30"/>
      <c r="J53" s="30"/>
      <c r="K53" s="12">
        <f t="shared" si="42"/>
        <v>15393.369999999999</v>
      </c>
      <c r="L53" s="3">
        <v>1282.58</v>
      </c>
      <c r="M53" s="3">
        <f>741.66+167.19</f>
        <v>908.84999999999991</v>
      </c>
      <c r="N53" s="2">
        <f t="shared" si="34"/>
        <v>6205.8999999999987</v>
      </c>
      <c r="O53" s="2">
        <f t="shared" si="1"/>
        <v>8397.3299999999981</v>
      </c>
      <c r="P53" s="18">
        <f t="shared" si="2"/>
        <v>6996.0400000000009</v>
      </c>
      <c r="Q53" s="24"/>
      <c r="R53" s="25">
        <v>6996.04</v>
      </c>
    </row>
    <row r="54" spans="1:18" x14ac:dyDescent="0.25">
      <c r="A54" s="42">
        <v>48</v>
      </c>
      <c r="B54" s="16" t="s">
        <v>53</v>
      </c>
      <c r="C54" s="14">
        <f>1717.64+103.06</f>
        <v>1820.7</v>
      </c>
      <c r="D54" s="27"/>
      <c r="E54" s="27"/>
      <c r="F54" s="27">
        <f>1526.17+294.53+508.72+98.18</f>
        <v>2427.6</v>
      </c>
      <c r="G54" s="27"/>
      <c r="H54" s="27"/>
      <c r="I54" s="30"/>
      <c r="J54" s="30"/>
      <c r="K54" s="12">
        <f t="shared" si="42"/>
        <v>4248.3</v>
      </c>
      <c r="L54" s="3"/>
      <c r="M54" s="3">
        <f>251.61+161.96</f>
        <v>413.57000000000005</v>
      </c>
      <c r="N54" s="2">
        <f t="shared" ref="N54" si="43">K54-L54-M54-R54</f>
        <v>1880.31</v>
      </c>
      <c r="O54" s="2">
        <f t="shared" ref="O54" si="44">SUM(L54:N54)</f>
        <v>2293.88</v>
      </c>
      <c r="P54" s="18">
        <f t="shared" ref="P54" si="45">SUM(K54-O54)</f>
        <v>1954.42</v>
      </c>
      <c r="Q54" s="24"/>
      <c r="R54" s="25">
        <v>1954.42</v>
      </c>
    </row>
    <row r="55" spans="1:18" x14ac:dyDescent="0.25">
      <c r="A55" s="42">
        <v>49</v>
      </c>
      <c r="B55" s="16" t="s">
        <v>32</v>
      </c>
      <c r="C55" s="14">
        <f>16557.45+6159.37</f>
        <v>22716.82</v>
      </c>
      <c r="D55" s="27">
        <v>3311.49</v>
      </c>
      <c r="E55" s="27"/>
      <c r="F55" s="27"/>
      <c r="G55" s="27"/>
      <c r="H55" s="27"/>
      <c r="I55" s="30"/>
      <c r="J55" s="30"/>
      <c r="K55" s="12">
        <f t="shared" si="42"/>
        <v>26028.309999999998</v>
      </c>
      <c r="L55" s="3">
        <v>6011.85</v>
      </c>
      <c r="M55" s="3">
        <v>908.85</v>
      </c>
      <c r="N55" s="2">
        <f t="shared" si="34"/>
        <v>341.61999999999898</v>
      </c>
      <c r="O55" s="2">
        <f t="shared" si="1"/>
        <v>7262.32</v>
      </c>
      <c r="P55" s="18">
        <f>SUM(K55-O55)+H55</f>
        <v>18765.989999999998</v>
      </c>
      <c r="Q55" s="24"/>
      <c r="R55" s="25">
        <v>18765.990000000002</v>
      </c>
    </row>
    <row r="56" spans="1:18" x14ac:dyDescent="0.25">
      <c r="A56" s="42">
        <v>50</v>
      </c>
      <c r="B56" s="16" t="s">
        <v>33</v>
      </c>
      <c r="C56" s="14">
        <v>4096.8</v>
      </c>
      <c r="D56" s="27"/>
      <c r="E56" s="27"/>
      <c r="F56" s="27"/>
      <c r="G56" s="27"/>
      <c r="H56" s="27"/>
      <c r="I56" s="30"/>
      <c r="J56" s="30"/>
      <c r="K56" s="12">
        <f t="shared" si="42"/>
        <v>4096.8</v>
      </c>
      <c r="L56" s="3">
        <v>148.36000000000001</v>
      </c>
      <c r="M56" s="3">
        <v>392.36</v>
      </c>
      <c r="N56" s="2">
        <f t="shared" si="34"/>
        <v>49.849999999999909</v>
      </c>
      <c r="O56" s="2">
        <f t="shared" si="1"/>
        <v>590.56999999999994</v>
      </c>
      <c r="P56" s="18">
        <f t="shared" si="2"/>
        <v>3506.2300000000005</v>
      </c>
      <c r="Q56" s="24"/>
      <c r="R56" s="25">
        <v>3506.23</v>
      </c>
    </row>
    <row r="57" spans="1:18" x14ac:dyDescent="0.25">
      <c r="A57" s="42">
        <v>51</v>
      </c>
      <c r="B57" s="16" t="s">
        <v>71</v>
      </c>
      <c r="C57" s="14">
        <f>3676.14+123.21</f>
        <v>3799.35</v>
      </c>
      <c r="D57" s="27">
        <v>430.83</v>
      </c>
      <c r="E57" s="27"/>
      <c r="F57" s="27">
        <f>655.41+218.47+101.88+33.96</f>
        <v>1009.72</v>
      </c>
      <c r="G57" s="27">
        <f>1310.82+436.94+203.75+67.92</f>
        <v>2019.43</v>
      </c>
      <c r="H57" s="27">
        <v>1966.23</v>
      </c>
      <c r="I57" s="30"/>
      <c r="J57" s="30"/>
      <c r="K57" s="12">
        <f t="shared" si="42"/>
        <v>9225.5600000000013</v>
      </c>
      <c r="L57" s="3">
        <v>192.5</v>
      </c>
      <c r="M57" s="3">
        <f>186.86+65.54</f>
        <v>252.40000000000003</v>
      </c>
      <c r="N57" s="2">
        <f t="shared" ref="N57" si="46">K57-L57-M57-R57</f>
        <v>4864.6500000000015</v>
      </c>
      <c r="O57" s="2">
        <f t="shared" ref="O57" si="47">SUM(L57:N57)</f>
        <v>5309.5500000000011</v>
      </c>
      <c r="P57" s="18">
        <f t="shared" ref="P57" si="48">SUM(K57-O57)</f>
        <v>3916.01</v>
      </c>
      <c r="Q57" s="24"/>
      <c r="R57" s="25">
        <v>3916.01</v>
      </c>
    </row>
    <row r="58" spans="1:18" x14ac:dyDescent="0.25">
      <c r="A58" s="42">
        <v>52</v>
      </c>
      <c r="B58" s="16" t="s">
        <v>77</v>
      </c>
      <c r="C58" s="14">
        <v>4324.45</v>
      </c>
      <c r="D58" s="27"/>
      <c r="E58" s="27"/>
      <c r="F58" s="27"/>
      <c r="G58" s="27"/>
      <c r="H58" s="27"/>
      <c r="I58" s="30"/>
      <c r="J58" s="30"/>
      <c r="K58" s="12">
        <f t="shared" si="42"/>
        <v>4324.45</v>
      </c>
      <c r="L58" s="3">
        <v>183.15</v>
      </c>
      <c r="M58" s="3">
        <v>424.23</v>
      </c>
      <c r="N58" s="2">
        <f t="shared" ref="N58" si="49">K58-L58-M58-R58</f>
        <v>42.320000000000164</v>
      </c>
      <c r="O58" s="2">
        <f t="shared" ref="O58" si="50">SUM(L58:N58)</f>
        <v>649.70000000000016</v>
      </c>
      <c r="P58" s="18">
        <f t="shared" ref="P58" si="51">SUM(K58-O58)</f>
        <v>3674.7499999999995</v>
      </c>
      <c r="Q58" s="24"/>
      <c r="R58" s="25">
        <v>3674.75</v>
      </c>
    </row>
    <row r="59" spans="1:18" x14ac:dyDescent="0.25">
      <c r="A59" s="42">
        <v>53</v>
      </c>
      <c r="B59" s="16" t="s">
        <v>34</v>
      </c>
      <c r="C59" s="14">
        <f>14715.31+7210.5</f>
        <v>21925.809999999998</v>
      </c>
      <c r="D59" s="27">
        <v>5886.12</v>
      </c>
      <c r="E59" s="27"/>
      <c r="F59" s="27"/>
      <c r="G59" s="27"/>
      <c r="H59" s="27"/>
      <c r="I59" s="30"/>
      <c r="J59" s="30"/>
      <c r="K59" s="12">
        <f t="shared" si="42"/>
        <v>27811.929999999997</v>
      </c>
      <c r="L59" s="3">
        <v>6450.21</v>
      </c>
      <c r="M59" s="3">
        <v>908.85</v>
      </c>
      <c r="N59" s="2">
        <f t="shared" si="34"/>
        <v>11274.829999999998</v>
      </c>
      <c r="O59" s="2">
        <f t="shared" si="1"/>
        <v>18633.89</v>
      </c>
      <c r="P59" s="18">
        <f>SUM(K59-O59)+H59</f>
        <v>9178.0399999999972</v>
      </c>
      <c r="Q59" s="24"/>
      <c r="R59" s="25">
        <v>9178.0400000000009</v>
      </c>
    </row>
    <row r="60" spans="1:18" x14ac:dyDescent="0.25">
      <c r="A60" s="42">
        <v>54</v>
      </c>
      <c r="B60" s="16" t="s">
        <v>35</v>
      </c>
      <c r="C60" s="14">
        <v>8075.61</v>
      </c>
      <c r="D60" s="27"/>
      <c r="E60" s="27"/>
      <c r="F60" s="27"/>
      <c r="G60" s="27"/>
      <c r="H60" s="27"/>
      <c r="I60" s="30"/>
      <c r="J60" s="30"/>
      <c r="K60" s="12">
        <f t="shared" si="42"/>
        <v>8075.61</v>
      </c>
      <c r="L60" s="3">
        <v>1022.72</v>
      </c>
      <c r="M60" s="3">
        <v>908.85</v>
      </c>
      <c r="N60" s="2">
        <f t="shared" si="34"/>
        <v>2250.9599999999991</v>
      </c>
      <c r="O60" s="2">
        <f t="shared" si="1"/>
        <v>4182.5299999999988</v>
      </c>
      <c r="P60" s="18">
        <f t="shared" si="2"/>
        <v>3893.0800000000008</v>
      </c>
      <c r="Q60" s="24"/>
      <c r="R60" s="25">
        <v>3893.08</v>
      </c>
    </row>
    <row r="61" spans="1:18" x14ac:dyDescent="0.25">
      <c r="A61" s="42">
        <v>55</v>
      </c>
      <c r="B61" s="16" t="s">
        <v>58</v>
      </c>
      <c r="C61" s="14">
        <f>6443.11+270.41</f>
        <v>6713.5199999999995</v>
      </c>
      <c r="D61" s="27">
        <v>317.16000000000003</v>
      </c>
      <c r="E61" s="27"/>
      <c r="F61" s="27"/>
      <c r="G61" s="27"/>
      <c r="H61" s="27"/>
      <c r="I61" s="30"/>
      <c r="J61" s="30"/>
      <c r="K61" s="12">
        <f>SUM(C61:I61)</f>
        <v>7030.6799999999994</v>
      </c>
      <c r="L61" s="3">
        <v>816.58</v>
      </c>
      <c r="M61" s="3">
        <v>803.11</v>
      </c>
      <c r="N61" s="2">
        <f t="shared" ref="N61" si="52">K61-L61-M61-R61</f>
        <v>1129.75</v>
      </c>
      <c r="O61" s="2">
        <f t="shared" ref="O61" si="53">SUM(L61:N61)</f>
        <v>2749.44</v>
      </c>
      <c r="P61" s="18">
        <f t="shared" ref="P61" si="54">SUM(K61-O61)</f>
        <v>4281.24</v>
      </c>
      <c r="Q61" s="24"/>
      <c r="R61" s="25">
        <v>4281.24</v>
      </c>
    </row>
    <row r="62" spans="1:18" x14ac:dyDescent="0.25">
      <c r="A62" s="42">
        <v>56</v>
      </c>
      <c r="B62" s="47" t="s">
        <v>78</v>
      </c>
      <c r="C62" s="48">
        <f>2568.98+28.07</f>
        <v>2597.0500000000002</v>
      </c>
      <c r="D62" s="49">
        <v>237.87</v>
      </c>
      <c r="E62" s="49"/>
      <c r="F62" s="49">
        <f>1497.08+499.03+232.7+77.57</f>
        <v>2306.38</v>
      </c>
      <c r="G62" s="27"/>
      <c r="H62" s="27"/>
      <c r="I62" s="30"/>
      <c r="J62" s="30"/>
      <c r="K62" s="12">
        <f>SUM(C62:I62)</f>
        <v>5141.3</v>
      </c>
      <c r="L62" s="50">
        <v>16.88</v>
      </c>
      <c r="M62" s="50">
        <f>380.13+158.46</f>
        <v>538.59</v>
      </c>
      <c r="N62" s="2">
        <f t="shared" ref="N62" si="55">K62-L62-M62-R62</f>
        <v>2117.62</v>
      </c>
      <c r="O62" s="2">
        <f t="shared" ref="O62" si="56">SUM(L62:N62)</f>
        <v>2673.09</v>
      </c>
      <c r="P62" s="18">
        <f t="shared" ref="P62" si="57">SUM(K62-O62)</f>
        <v>2468.21</v>
      </c>
      <c r="Q62" s="24"/>
      <c r="R62" s="25">
        <v>2468.21</v>
      </c>
    </row>
    <row r="63" spans="1:18" ht="15.75" thickBot="1" x14ac:dyDescent="0.3">
      <c r="A63" s="42">
        <v>57</v>
      </c>
      <c r="B63" s="17" t="s">
        <v>36</v>
      </c>
      <c r="C63" s="15">
        <f>11432.03+2400.73</f>
        <v>13832.76</v>
      </c>
      <c r="D63" s="29">
        <v>4572.8100000000004</v>
      </c>
      <c r="E63" s="29"/>
      <c r="F63" s="29"/>
      <c r="G63" s="29"/>
      <c r="H63" s="29"/>
      <c r="I63" s="31">
        <v>3408.63</v>
      </c>
      <c r="J63" s="31"/>
      <c r="K63" s="13">
        <f>SUM(C63:J63)</f>
        <v>21814.2</v>
      </c>
      <c r="L63" s="10">
        <v>4800.83</v>
      </c>
      <c r="M63" s="10">
        <v>908.85</v>
      </c>
      <c r="N63" s="11">
        <f t="shared" si="34"/>
        <v>74.890000000003056</v>
      </c>
      <c r="O63" s="11">
        <f t="shared" si="1"/>
        <v>5784.5700000000033</v>
      </c>
      <c r="P63" s="19">
        <f t="shared" si="2"/>
        <v>16029.629999999997</v>
      </c>
      <c r="Q63" s="24"/>
      <c r="R63" s="25">
        <v>16029.63</v>
      </c>
    </row>
    <row r="64" spans="1:18" ht="15.75" thickBot="1" x14ac:dyDescent="0.3"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2:16" x14ac:dyDescent="0.25">
      <c r="B65" s="60" t="s">
        <v>81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2"/>
    </row>
    <row r="66" spans="2:16" ht="5.25" customHeight="1" x14ac:dyDescent="0.25">
      <c r="B66" s="54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6"/>
    </row>
    <row r="67" spans="2:16" x14ac:dyDescent="0.25">
      <c r="B67" s="57" t="s">
        <v>67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9"/>
    </row>
    <row r="68" spans="2:16" x14ac:dyDescent="0.25">
      <c r="B68" s="54" t="s">
        <v>64</v>
      </c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6"/>
    </row>
    <row r="69" spans="2:16" x14ac:dyDescent="0.25">
      <c r="B69" s="54" t="s">
        <v>65</v>
      </c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6"/>
    </row>
    <row r="70" spans="2:16" x14ac:dyDescent="0.25">
      <c r="B70" s="54" t="s">
        <v>66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6"/>
    </row>
    <row r="71" spans="2:16" ht="15.75" thickBot="1" x14ac:dyDescent="0.3">
      <c r="B71" s="51" t="s">
        <v>80</v>
      </c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3"/>
    </row>
    <row r="72" spans="2:16" x14ac:dyDescent="0.25"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43"/>
      <c r="L73" s="5"/>
      <c r="M73" s="5"/>
      <c r="N73" s="5"/>
      <c r="O73" s="43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5"/>
      <c r="L74" s="45"/>
      <c r="M74" s="45"/>
      <c r="N74" s="45"/>
      <c r="O74" s="45"/>
      <c r="P74" s="45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  <mergeCell ref="B71:P71"/>
    <mergeCell ref="B66:P66"/>
    <mergeCell ref="B67:P67"/>
    <mergeCell ref="B68:P68"/>
    <mergeCell ref="B70:P70"/>
    <mergeCell ref="B69:P69"/>
  </mergeCells>
  <pageMargins left="0.23622047244094491" right="3.937007874015748E-2" top="0.19685039370078741" bottom="0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2024-01-30T19:55:20Z</cp:lastPrinted>
  <dcterms:created xsi:type="dcterms:W3CDTF">2016-04-28T12:49:34Z</dcterms:created>
  <dcterms:modified xsi:type="dcterms:W3CDTF">2024-04-30T13:49:39Z</dcterms:modified>
</cp:coreProperties>
</file>