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4-ABRIL\"/>
    </mc:Choice>
  </mc:AlternateContent>
  <xr:revisionPtr revIDLastSave="0" documentId="13_ncr:1_{1B120978-8DA5-4A53-9A74-D07D166B6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6" l="1"/>
  <c r="M61" i="6"/>
  <c r="L61" i="6"/>
  <c r="G61" i="6"/>
  <c r="F61" i="6"/>
  <c r="H61" i="6"/>
  <c r="C61" i="6"/>
  <c r="C60" i="6"/>
  <c r="G58" i="6"/>
  <c r="F58" i="6"/>
  <c r="H58" i="6"/>
  <c r="C58" i="6"/>
  <c r="D56" i="6"/>
  <c r="C56" i="6"/>
  <c r="C54" i="6"/>
  <c r="C45" i="6"/>
  <c r="C42" i="6"/>
  <c r="C41" i="6"/>
  <c r="D39" i="6"/>
  <c r="C39" i="6"/>
  <c r="C35" i="6"/>
  <c r="M34" i="6"/>
  <c r="G34" i="6"/>
  <c r="F34" i="6"/>
  <c r="H34" i="6"/>
  <c r="C34" i="6"/>
  <c r="M33" i="6"/>
  <c r="F33" i="6"/>
  <c r="C33" i="6"/>
  <c r="C31" i="6"/>
  <c r="C30" i="6"/>
  <c r="C28" i="6"/>
  <c r="F26" i="6"/>
  <c r="H26" i="6"/>
  <c r="C26" i="6"/>
  <c r="C25" i="6"/>
  <c r="C22" i="6"/>
  <c r="M19" i="6"/>
  <c r="F19" i="6"/>
  <c r="C19" i="6"/>
  <c r="C16" i="6"/>
  <c r="C14" i="6"/>
  <c r="M13" i="6"/>
  <c r="G13" i="6"/>
  <c r="F13" i="6"/>
  <c r="C13" i="6"/>
  <c r="C9" i="6"/>
  <c r="C7" i="6"/>
  <c r="C53" i="6"/>
  <c r="C51" i="6"/>
  <c r="C50" i="6"/>
  <c r="C38" i="6"/>
  <c r="C36" i="6"/>
  <c r="M31" i="6"/>
  <c r="K21" i="6"/>
  <c r="N21" i="6"/>
  <c r="D15" i="6"/>
  <c r="C15" i="6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C48" i="6"/>
  <c r="C47" i="6"/>
  <c r="C46" i="6"/>
  <c r="K44" i="6"/>
  <c r="N44" i="6" s="1"/>
  <c r="O44" i="6" s="1"/>
  <c r="P44" i="6" s="1"/>
  <c r="M39" i="6"/>
  <c r="K37" i="6"/>
  <c r="N37" i="6" s="1"/>
  <c r="O37" i="6" s="1"/>
  <c r="P37" i="6" s="1"/>
  <c r="C24" i="6"/>
  <c r="K23" i="6"/>
  <c r="C20" i="6"/>
  <c r="C17" i="6"/>
  <c r="K11" i="6"/>
  <c r="M7" i="6"/>
  <c r="M64" i="6"/>
  <c r="M53" i="6"/>
  <c r="M50" i="6"/>
  <c r="M48" i="6"/>
  <c r="M47" i="6"/>
  <c r="M46" i="6"/>
  <c r="M42" i="6"/>
  <c r="M30" i="6"/>
  <c r="M26" i="6"/>
  <c r="M24" i="6"/>
  <c r="M20" i="6"/>
  <c r="M16" i="6"/>
  <c r="M15" i="6"/>
  <c r="C52" i="6"/>
  <c r="C43" i="6"/>
  <c r="C32" i="6"/>
  <c r="C12" i="6"/>
  <c r="C10" i="6"/>
  <c r="C55" i="6"/>
  <c r="O21" i="6" l="1"/>
  <c r="P21" i="6" s="1"/>
  <c r="P59" i="6"/>
  <c r="N23" i="6"/>
  <c r="O23" i="6" s="1"/>
  <c r="P23" i="6" s="1"/>
  <c r="N11" i="6"/>
  <c r="O11" i="6" s="1"/>
  <c r="P11" i="6" s="1"/>
  <c r="K58" i="6"/>
  <c r="K64" i="6" l="1"/>
  <c r="K46" i="6"/>
  <c r="N58" i="6"/>
  <c r="O58" i="6" s="1"/>
  <c r="P58" i="6" s="1"/>
  <c r="K14" i="6"/>
  <c r="K10" i="6"/>
  <c r="N10" i="6" s="1"/>
  <c r="O10" i="6" s="1"/>
  <c r="P10" i="6" s="1"/>
  <c r="N14" i="6" l="1"/>
  <c r="O14" i="6" s="1"/>
  <c r="P14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9" i="6"/>
  <c r="K12" i="6"/>
  <c r="K13" i="6"/>
  <c r="K16" i="6"/>
  <c r="K17" i="6"/>
  <c r="K18" i="6"/>
  <c r="K19" i="6"/>
  <c r="K20" i="6"/>
  <c r="K22" i="6"/>
  <c r="K24" i="6"/>
  <c r="K25" i="6"/>
  <c r="K26" i="6"/>
  <c r="K27" i="6"/>
  <c r="K28" i="6"/>
  <c r="K29" i="6"/>
  <c r="K30" i="6"/>
  <c r="K31" i="6"/>
  <c r="K7" i="6"/>
  <c r="K51" i="6" l="1"/>
  <c r="K15" i="6"/>
  <c r="N62" i="6" l="1"/>
  <c r="O62" i="6" s="1"/>
  <c r="P62" i="6" s="1"/>
  <c r="N19" i="6" l="1"/>
  <c r="O19" i="6" s="1"/>
  <c r="P19" i="6" s="1"/>
  <c r="N33" i="6" l="1"/>
  <c r="O33" i="6" s="1"/>
  <c r="P33" i="6" s="1"/>
  <c r="N9" i="6" l="1"/>
  <c r="O9" i="6" s="1"/>
  <c r="P9" i="6" s="1"/>
  <c r="N40" i="6" l="1"/>
  <c r="O40" i="6" s="1"/>
  <c r="P40" i="6" s="1"/>
  <c r="N55" i="6" l="1"/>
  <c r="O55" i="6" s="1"/>
  <c r="P55" i="6" s="1"/>
  <c r="N27" i="6"/>
  <c r="O27" i="6" s="1"/>
  <c r="P27" i="6" s="1"/>
  <c r="N16" i="6" l="1"/>
  <c r="O16" i="6" s="1"/>
  <c r="P16" i="6" s="1"/>
  <c r="N13" i="6" l="1"/>
  <c r="O13" i="6" s="1"/>
  <c r="P13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31" i="6"/>
  <c r="O31" i="6" s="1"/>
  <c r="P31" i="6" s="1"/>
  <c r="N30" i="6"/>
  <c r="O30" i="6" s="1"/>
  <c r="P30" i="6" s="1"/>
  <c r="N28" i="6"/>
  <c r="O28" i="6" s="1"/>
  <c r="P28" i="6" s="1"/>
  <c r="N26" i="6"/>
  <c r="O26" i="6" s="1"/>
  <c r="P26" i="6" s="1"/>
  <c r="N25" i="6"/>
  <c r="O25" i="6" s="1"/>
  <c r="P25" i="6" s="1"/>
  <c r="N24" i="6"/>
  <c r="O24" i="6" s="1"/>
  <c r="P24" i="6" s="1"/>
  <c r="N20" i="6"/>
  <c r="O20" i="6" s="1"/>
  <c r="P20" i="6" s="1"/>
  <c r="N7" i="6"/>
  <c r="O7" i="6" s="1"/>
  <c r="P7" i="6" s="1"/>
  <c r="N45" i="6" l="1"/>
  <c r="O45" i="6" s="1"/>
  <c r="P45" i="6" s="1"/>
  <c r="N8" i="6"/>
  <c r="N61" i="6"/>
  <c r="O61" i="6" s="1"/>
  <c r="P61" i="6" s="1"/>
  <c r="N17" i="6"/>
  <c r="O17" i="6" s="1"/>
  <c r="P17" i="6" s="1"/>
  <c r="N56" i="6"/>
  <c r="O56" i="6" s="1"/>
  <c r="P56" i="6" s="1"/>
  <c r="N50" i="6"/>
  <c r="N51" i="6"/>
  <c r="O51" i="6" s="1"/>
  <c r="P51" i="6" s="1"/>
  <c r="N60" i="6"/>
  <c r="O60" i="6" s="1"/>
  <c r="P60" i="6" s="1"/>
  <c r="N12" i="6"/>
  <c r="O12" i="6" s="1"/>
  <c r="P12" i="6" s="1"/>
  <c r="N34" i="6"/>
  <c r="O34" i="6" s="1"/>
  <c r="P34" i="6" s="1"/>
  <c r="N29" i="6"/>
  <c r="O29" i="6" s="1"/>
  <c r="P29" i="6" s="1"/>
  <c r="N39" i="6"/>
  <c r="O39" i="6" s="1"/>
  <c r="P39" i="6" s="1"/>
  <c r="N43" i="6"/>
  <c r="O43" i="6" s="1"/>
  <c r="P43" i="6" s="1"/>
  <c r="N22" i="6"/>
  <c r="O22" i="6" s="1"/>
  <c r="P22" i="6" s="1"/>
  <c r="N18" i="6"/>
  <c r="O18" i="6" s="1"/>
  <c r="P18" i="6" s="1"/>
  <c r="N15" i="6"/>
  <c r="O15" i="6" s="1"/>
  <c r="P15" i="6" s="1"/>
  <c r="P48" i="6"/>
  <c r="P47" i="6"/>
  <c r="P52" i="6"/>
  <c r="N41" i="6"/>
  <c r="O41" i="6" s="1"/>
  <c r="P41" i="6" s="1"/>
  <c r="P57" i="6"/>
  <c r="O50" i="6" l="1"/>
  <c r="O8" i="6"/>
  <c r="P50" i="6" l="1"/>
  <c r="P8" i="6"/>
</calcChain>
</file>

<file path=xl/sharedStrings.xml><?xml version="1.0" encoding="utf-8"?>
<sst xmlns="http://schemas.openxmlformats.org/spreadsheetml/2006/main" count="91" uniqueCount="89">
  <si>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</si>
  <si>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</si>
  <si>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</si>
  <si>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</si>
  <si>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</si>
  <si>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</si>
  <si>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</si>
  <si>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</si>
  <si>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</si>
  <si>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</si>
  <si>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</si>
  <si>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</si>
  <si>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</si>
  <si>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</si>
  <si>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</si>
  <si>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</si>
  <si>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</si>
  <si>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</si>
  <si>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</si>
  <si>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</si>
  <si>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</si>
  <si>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</si>
  <si>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</si>
  <si>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</si>
  <si>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</si>
  <si>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</si>
  <si>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</si>
  <si>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</si>
  <si>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</si>
  <si>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</si>
  <si>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</si>
  <si>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</si>
  <si>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</si>
  <si>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</si>
  <si>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</si>
  <si>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</si>
  <si>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</si>
  <si>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</si>
  <si>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</si>
  <si>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</si>
  <si>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</si>
  <si>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</si>
  <si>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</si>
  <si>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</si>
  <si>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</si>
  <si>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</si>
  <si>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</si>
  <si>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</si>
  <si>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</si>
  <si>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</si>
  <si>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</si>
  <si>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</si>
  <si>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</si>
  <si>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</si>
  <si>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</si>
  <si>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</si>
  <si>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</si>
  <si>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</si>
  <si>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</si>
  <si>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</si>
  <si>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</si>
  <si>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</si>
  <si>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</si>
  <si>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</si>
  <si>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</si>
  <si>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</si>
  <si>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</si>
  <si>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</si>
  <si>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</si>
  <si>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</si>
  <si>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</si>
  <si>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</si>
  <si>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</si>
  <si>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</si>
  <si>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</si>
  <si>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</si>
  <si>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</si>
  <si>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</si>
  <si>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</si>
  <si>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</si>
  <si>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</si>
  <si>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</si>
  <si>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</si>
  <si>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</si>
  <si>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</si>
  <si>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</si>
  <si>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</si>
  <si>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t>ABRIL/2023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</si>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</sst>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0" fillId="0" borderId="30" xfId="0" applyNumberForma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P7" sqref="P7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71" t="s">
        <v>49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9" ht="16.5" x14ac:dyDescent="0.25">
      <c r="B2" s="71" t="s">
        <v>50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9" ht="4.5" customHeight="1" thickBot="1" x14ac:dyDescent="0.3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9" ht="19.5" thickBot="1" x14ac:dyDescent="0.35">
      <c r="B4" s="47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3" t="s">
        <v>48</v>
      </c>
      <c r="C5" s="75" t="s">
        <v>38</v>
      </c>
      <c r="D5" s="79" t="s">
        <v>62</v>
      </c>
      <c r="E5" s="75" t="s">
        <v>39</v>
      </c>
      <c r="F5" s="75" t="s">
        <v>63</v>
      </c>
      <c r="G5" s="40" t="s">
        <v>64</v>
      </c>
      <c r="H5" s="41" t="s">
        <v>66</v>
      </c>
      <c r="I5" s="20" t="s">
        <v>51</v>
      </c>
      <c r="J5" s="8" t="s">
        <v>71</v>
      </c>
      <c r="K5" s="20" t="s">
        <v>40</v>
      </c>
      <c r="L5" s="77" t="s">
        <v>42</v>
      </c>
      <c r="M5" s="75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74"/>
      <c r="C6" s="76"/>
      <c r="D6" s="80"/>
      <c r="E6" s="76"/>
      <c r="F6" s="76"/>
      <c r="G6" s="42" t="s">
        <v>65</v>
      </c>
      <c r="H6" s="43" t="s">
        <v>53</v>
      </c>
      <c r="I6" s="21" t="s">
        <v>52</v>
      </c>
      <c r="J6" s="9" t="s">
        <v>72</v>
      </c>
      <c r="K6" s="21" t="s">
        <v>41</v>
      </c>
      <c r="L6" s="78"/>
      <c r="M6" s="76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5947.23+710.73</f>
        <v>6657.9599999999991</v>
      </c>
      <c r="D7" s="27">
        <v>2936.92</v>
      </c>
      <c r="E7" s="27"/>
      <c r="F7" s="27"/>
      <c r="G7" s="27"/>
      <c r="H7" s="27"/>
      <c r="I7" s="30"/>
      <c r="J7" s="30"/>
      <c r="K7" s="12">
        <f t="shared" ref="K7:K15" si="0">SUM(C7:I7)</f>
        <v>9594.8799999999992</v>
      </c>
      <c r="L7" s="3">
        <v>1528</v>
      </c>
      <c r="M7" s="3">
        <f>379.63+497.59</f>
        <v>877.22</v>
      </c>
      <c r="N7" s="2">
        <f t="shared" ref="N7:N14" si="1">K7-L7-M7-R7</f>
        <v>40.659999999998945</v>
      </c>
      <c r="O7" s="2">
        <f t="shared" ref="O7:O64" si="2">SUM(L7:N7)</f>
        <v>2445.8799999999992</v>
      </c>
      <c r="P7" s="18">
        <f t="shared" ref="P7:P64" si="3">SUM(K7-O7)</f>
        <v>7149</v>
      </c>
      <c r="Q7" s="24"/>
      <c r="R7" s="25">
        <v>7149</v>
      </c>
    </row>
    <row r="8" spans="1:19" x14ac:dyDescent="0.25">
      <c r="A8" s="45">
        <v>2</v>
      </c>
      <c r="B8" s="16" t="s">
        <v>1</v>
      </c>
      <c r="C8" s="14">
        <v>3081.51</v>
      </c>
      <c r="D8" s="27"/>
      <c r="E8" s="27"/>
      <c r="F8" s="27"/>
      <c r="G8" s="27"/>
      <c r="H8" s="27"/>
      <c r="I8" s="30"/>
      <c r="J8" s="30"/>
      <c r="K8" s="12">
        <f t="shared" si="0"/>
        <v>3081.51</v>
      </c>
      <c r="L8" s="3">
        <v>53.61</v>
      </c>
      <c r="M8" s="3">
        <v>273.10000000000002</v>
      </c>
      <c r="N8" s="2">
        <f t="shared" si="1"/>
        <v>1782.4900000000002</v>
      </c>
      <c r="O8" s="2">
        <f t="shared" si="2"/>
        <v>2109.2000000000003</v>
      </c>
      <c r="P8" s="18">
        <f t="shared" si="3"/>
        <v>972.31</v>
      </c>
      <c r="Q8" s="24"/>
      <c r="R8" s="25">
        <v>972.31</v>
      </c>
    </row>
    <row r="9" spans="1:19" x14ac:dyDescent="0.25">
      <c r="A9" s="45">
        <v>3</v>
      </c>
      <c r="B9" s="16" t="s">
        <v>57</v>
      </c>
      <c r="C9" s="14">
        <f>2271.26+186.99</f>
        <v>2458.25</v>
      </c>
      <c r="D9" s="27">
        <v>1468.47</v>
      </c>
      <c r="E9" s="27"/>
      <c r="F9" s="27"/>
      <c r="G9" s="27"/>
      <c r="H9" s="27"/>
      <c r="I9" s="30"/>
      <c r="J9" s="30"/>
      <c r="K9" s="12">
        <f t="shared" si="0"/>
        <v>3926.7200000000003</v>
      </c>
      <c r="L9" s="3">
        <v>177.82</v>
      </c>
      <c r="M9" s="3">
        <v>375.91</v>
      </c>
      <c r="N9" s="2">
        <f t="shared" si="1"/>
        <v>117.88000000000011</v>
      </c>
      <c r="O9" s="2">
        <f t="shared" si="2"/>
        <v>671.61000000000013</v>
      </c>
      <c r="P9" s="18">
        <f t="shared" si="3"/>
        <v>3255.11</v>
      </c>
      <c r="Q9" s="24"/>
      <c r="R9" s="25">
        <v>3255.11</v>
      </c>
    </row>
    <row r="10" spans="1:19" x14ac:dyDescent="0.25">
      <c r="A10" s="45">
        <v>4</v>
      </c>
      <c r="B10" s="16" t="s">
        <v>75</v>
      </c>
      <c r="C10" s="14">
        <f>4659.14+55.91</f>
        <v>4715.05</v>
      </c>
      <c r="D10" s="27">
        <v>931.83</v>
      </c>
      <c r="E10" s="27"/>
      <c r="F10" s="27"/>
      <c r="G10" s="27"/>
      <c r="H10" s="27"/>
      <c r="I10" s="30"/>
      <c r="J10" s="30"/>
      <c r="K10" s="12">
        <f t="shared" ref="K10:K11" si="4">SUM(C10:I10)</f>
        <v>5646.88</v>
      </c>
      <c r="L10" s="3">
        <v>513.92999999999995</v>
      </c>
      <c r="M10" s="3">
        <v>616.74</v>
      </c>
      <c r="N10" s="2">
        <f t="shared" ref="N10:N11" si="5">K10-L10-M10-R10</f>
        <v>41.770000000000437</v>
      </c>
      <c r="O10" s="2">
        <f t="shared" ref="O10:O11" si="6">SUM(L10:N10)</f>
        <v>1172.4400000000005</v>
      </c>
      <c r="P10" s="18">
        <f t="shared" ref="P10:P11" si="7">SUM(K10-O10)</f>
        <v>4474.4399999999996</v>
      </c>
      <c r="Q10" s="24"/>
      <c r="R10" s="25">
        <v>4474.4399999999996</v>
      </c>
    </row>
    <row r="11" spans="1:19" x14ac:dyDescent="0.25">
      <c r="A11" s="45">
        <v>5</v>
      </c>
      <c r="B11" s="16" t="s">
        <v>79</v>
      </c>
      <c r="C11" s="14">
        <v>3167.54</v>
      </c>
      <c r="D11" s="27"/>
      <c r="E11" s="27"/>
      <c r="F11" s="27"/>
      <c r="G11" s="27"/>
      <c r="H11" s="27"/>
      <c r="I11" s="30"/>
      <c r="J11" s="30"/>
      <c r="K11" s="12">
        <f t="shared" si="4"/>
        <v>3167.54</v>
      </c>
      <c r="L11" s="3">
        <v>77.819999999999993</v>
      </c>
      <c r="M11" s="3">
        <v>283.43</v>
      </c>
      <c r="N11" s="2">
        <f t="shared" si="5"/>
        <v>197.15999999999985</v>
      </c>
      <c r="O11" s="2">
        <f t="shared" si="6"/>
        <v>558.40999999999985</v>
      </c>
      <c r="P11" s="18">
        <f t="shared" si="7"/>
        <v>2609.13</v>
      </c>
      <c r="Q11" s="24"/>
      <c r="R11" s="25">
        <v>2609.13</v>
      </c>
    </row>
    <row r="12" spans="1:19" x14ac:dyDescent="0.25">
      <c r="A12" s="45">
        <v>6</v>
      </c>
      <c r="B12" s="16" t="s">
        <v>2</v>
      </c>
      <c r="C12" s="14">
        <f>2922.46+379.92</f>
        <v>3302.38</v>
      </c>
      <c r="D12" s="27"/>
      <c r="E12" s="27"/>
      <c r="F12" s="27"/>
      <c r="G12" s="27"/>
      <c r="H12" s="27"/>
      <c r="I12" s="30"/>
      <c r="J12" s="30"/>
      <c r="K12" s="12">
        <f t="shared" si="0"/>
        <v>3302.38</v>
      </c>
      <c r="L12" s="3">
        <v>95.62</v>
      </c>
      <c r="M12" s="3">
        <v>299.61</v>
      </c>
      <c r="N12" s="2">
        <f t="shared" si="1"/>
        <v>1206.0900000000001</v>
      </c>
      <c r="O12" s="2">
        <f t="shared" si="2"/>
        <v>1601.3200000000002</v>
      </c>
      <c r="P12" s="18">
        <f>SUM(K12-O12)+H12</f>
        <v>1701.06</v>
      </c>
      <c r="Q12" s="24"/>
      <c r="R12" s="25">
        <v>1701.06</v>
      </c>
      <c r="S12" s="1"/>
    </row>
    <row r="13" spans="1:19" x14ac:dyDescent="0.25">
      <c r="A13" s="45">
        <v>7</v>
      </c>
      <c r="B13" s="16" t="s">
        <v>3</v>
      </c>
      <c r="C13" s="14">
        <f>3379.41+878.65</f>
        <v>4258.0599999999995</v>
      </c>
      <c r="D13" s="27"/>
      <c r="E13" s="27"/>
      <c r="F13" s="27">
        <f>116.53+30.3+48.94</f>
        <v>195.77</v>
      </c>
      <c r="G13" s="27">
        <f>1165.31+302.98+489.43</f>
        <v>1957.72</v>
      </c>
      <c r="H13" s="27"/>
      <c r="I13" s="30"/>
      <c r="J13" s="30"/>
      <c r="K13" s="12">
        <f t="shared" si="0"/>
        <v>6411.55</v>
      </c>
      <c r="L13" s="3">
        <v>224.96</v>
      </c>
      <c r="M13" s="3">
        <f>430.99+18.72</f>
        <v>449.71000000000004</v>
      </c>
      <c r="N13" s="2">
        <f t="shared" si="1"/>
        <v>3108.33</v>
      </c>
      <c r="O13" s="2">
        <f t="shared" si="2"/>
        <v>3783</v>
      </c>
      <c r="P13" s="18">
        <f t="shared" si="3"/>
        <v>2628.55</v>
      </c>
      <c r="Q13" s="24"/>
      <c r="R13" s="25">
        <v>2628.55</v>
      </c>
    </row>
    <row r="14" spans="1:19" x14ac:dyDescent="0.25">
      <c r="A14" s="45">
        <v>8</v>
      </c>
      <c r="B14" s="16" t="s">
        <v>73</v>
      </c>
      <c r="C14" s="14">
        <f>4659.14+111.82</f>
        <v>4770.96</v>
      </c>
      <c r="D14" s="27">
        <v>931.83</v>
      </c>
      <c r="E14" s="27"/>
      <c r="F14" s="27"/>
      <c r="G14" s="27"/>
      <c r="H14" s="27"/>
      <c r="I14" s="30"/>
      <c r="J14" s="30"/>
      <c r="K14" s="12">
        <f t="shared" si="0"/>
        <v>5702.79</v>
      </c>
      <c r="L14" s="3">
        <v>527.15</v>
      </c>
      <c r="M14" s="3">
        <v>624.55999999999995</v>
      </c>
      <c r="N14" s="2">
        <f t="shared" si="1"/>
        <v>6.8299999999999272</v>
      </c>
      <c r="O14" s="2">
        <f t="shared" si="2"/>
        <v>1158.54</v>
      </c>
      <c r="P14" s="18">
        <f t="shared" si="3"/>
        <v>4544.25</v>
      </c>
      <c r="Q14" s="24"/>
      <c r="R14" s="25">
        <v>4544.25</v>
      </c>
    </row>
    <row r="15" spans="1:19" x14ac:dyDescent="0.25">
      <c r="A15" s="45">
        <v>9</v>
      </c>
      <c r="B15" s="16" t="s">
        <v>4</v>
      </c>
      <c r="C15" s="14">
        <f>13962.05+7330.08</f>
        <v>21292.129999999997</v>
      </c>
      <c r="D15" s="27">
        <f>1396.21+5584.82</f>
        <v>6981.03</v>
      </c>
      <c r="E15" s="27"/>
      <c r="F15" s="27"/>
      <c r="G15" s="27"/>
      <c r="H15" s="27"/>
      <c r="I15" s="30"/>
      <c r="J15" s="30"/>
      <c r="K15" s="12">
        <f t="shared" si="0"/>
        <v>28273.159999999996</v>
      </c>
      <c r="L15" s="3">
        <v>6664.52</v>
      </c>
      <c r="M15" s="3">
        <f>789.5+87.72</f>
        <v>877.22</v>
      </c>
      <c r="N15" s="2">
        <f>K15-L15-M15-R15</f>
        <v>342.36999999999534</v>
      </c>
      <c r="O15" s="2">
        <f t="shared" si="2"/>
        <v>7884.109999999996</v>
      </c>
      <c r="P15" s="18">
        <f t="shared" si="3"/>
        <v>20389.05</v>
      </c>
      <c r="Q15" s="24"/>
      <c r="R15" s="25">
        <v>20389.05</v>
      </c>
    </row>
    <row r="16" spans="1:19" x14ac:dyDescent="0.25">
      <c r="A16" s="45">
        <v>10</v>
      </c>
      <c r="B16" s="16" t="s">
        <v>5</v>
      </c>
      <c r="C16" s="14">
        <f>13962.05+4691.25</f>
        <v>18653.3</v>
      </c>
      <c r="D16" s="27">
        <v>5584.82</v>
      </c>
      <c r="E16" s="27"/>
      <c r="F16" s="49"/>
      <c r="G16" s="27"/>
      <c r="H16" s="27"/>
      <c r="I16" s="30"/>
      <c r="J16" s="30"/>
      <c r="K16" s="12">
        <f t="shared" ref="K16:K32" si="8">SUM(C16:I16)</f>
        <v>24238.12</v>
      </c>
      <c r="L16" s="3">
        <v>5554.89</v>
      </c>
      <c r="M16" s="3">
        <f>48.84+828.38</f>
        <v>877.22</v>
      </c>
      <c r="N16" s="2">
        <f t="shared" ref="N16:N42" si="9">K16-L16-M16-R16</f>
        <v>106.5199999999968</v>
      </c>
      <c r="O16" s="2">
        <f t="shared" si="2"/>
        <v>6538.6299999999974</v>
      </c>
      <c r="P16" s="18">
        <f t="shared" si="3"/>
        <v>17699.490000000002</v>
      </c>
      <c r="Q16" s="24"/>
      <c r="R16" s="25">
        <v>17699.490000000002</v>
      </c>
    </row>
    <row r="17" spans="1:18" x14ac:dyDescent="0.25">
      <c r="A17" s="45">
        <v>11</v>
      </c>
      <c r="B17" s="16" t="s">
        <v>6</v>
      </c>
      <c r="C17" s="14">
        <f>2771.37+423.98</f>
        <v>3195.35</v>
      </c>
      <c r="D17" s="27">
        <v>1468.47</v>
      </c>
      <c r="E17" s="27"/>
      <c r="F17" s="44"/>
      <c r="G17" s="4"/>
      <c r="H17" s="27"/>
      <c r="I17" s="30"/>
      <c r="J17" s="30"/>
      <c r="K17" s="12">
        <f t="shared" si="8"/>
        <v>4663.82</v>
      </c>
      <c r="L17" s="3">
        <v>305.43</v>
      </c>
      <c r="M17" s="3">
        <v>479.11</v>
      </c>
      <c r="N17" s="2">
        <f t="shared" si="9"/>
        <v>19.859999999999218</v>
      </c>
      <c r="O17" s="2">
        <f t="shared" si="2"/>
        <v>804.39999999999918</v>
      </c>
      <c r="P17" s="18">
        <f t="shared" si="3"/>
        <v>3859.4200000000005</v>
      </c>
      <c r="Q17" s="24"/>
      <c r="R17" s="25">
        <v>3859.42</v>
      </c>
    </row>
    <row r="18" spans="1:18" x14ac:dyDescent="0.25">
      <c r="A18" s="45">
        <v>12</v>
      </c>
      <c r="B18" s="16" t="s">
        <v>7</v>
      </c>
      <c r="C18" s="14">
        <v>2831.32</v>
      </c>
      <c r="D18" s="27"/>
      <c r="E18" s="27"/>
      <c r="F18" s="27"/>
      <c r="G18" s="27"/>
      <c r="H18" s="27"/>
      <c r="I18" s="30"/>
      <c r="J18" s="30"/>
      <c r="K18" s="12">
        <f t="shared" si="8"/>
        <v>2831.32</v>
      </c>
      <c r="L18" s="3">
        <v>51.32</v>
      </c>
      <c r="M18" s="3">
        <v>243.08</v>
      </c>
      <c r="N18" s="2">
        <f t="shared" si="9"/>
        <v>425.59999999999991</v>
      </c>
      <c r="O18" s="2">
        <f t="shared" si="2"/>
        <v>720</v>
      </c>
      <c r="P18" s="18">
        <f t="shared" si="3"/>
        <v>2111.3200000000002</v>
      </c>
      <c r="Q18" s="24"/>
      <c r="R18" s="25">
        <v>2111.3200000000002</v>
      </c>
    </row>
    <row r="19" spans="1:18" x14ac:dyDescent="0.25">
      <c r="A19" s="45">
        <v>13</v>
      </c>
      <c r="B19" s="16" t="s">
        <v>60</v>
      </c>
      <c r="C19" s="14">
        <f>2692.68+107.71</f>
        <v>2800.39</v>
      </c>
      <c r="D19" s="27"/>
      <c r="E19" s="27"/>
      <c r="F19" s="27">
        <f>538.54+21.54+186.69</f>
        <v>746.77</v>
      </c>
      <c r="G19" s="27"/>
      <c r="H19" s="27"/>
      <c r="I19" s="30"/>
      <c r="J19" s="30"/>
      <c r="K19" s="12">
        <f t="shared" si="8"/>
        <v>3547.16</v>
      </c>
      <c r="L19" s="3">
        <v>32.54</v>
      </c>
      <c r="M19" s="3">
        <f>272.98+56</f>
        <v>328.98</v>
      </c>
      <c r="N19" s="2">
        <f t="shared" si="9"/>
        <v>697.59999999999991</v>
      </c>
      <c r="O19" s="2">
        <f t="shared" si="2"/>
        <v>1059.1199999999999</v>
      </c>
      <c r="P19" s="18">
        <f t="shared" si="3"/>
        <v>2488.04</v>
      </c>
      <c r="Q19" s="24"/>
      <c r="R19" s="25">
        <v>2488.04</v>
      </c>
    </row>
    <row r="20" spans="1:18" x14ac:dyDescent="0.25">
      <c r="A20" s="45">
        <v>14</v>
      </c>
      <c r="B20" s="16" t="s">
        <v>8</v>
      </c>
      <c r="C20" s="14">
        <f>5915.87+1416.45</f>
        <v>7332.32</v>
      </c>
      <c r="D20" s="27">
        <v>2936.92</v>
      </c>
      <c r="E20" s="27"/>
      <c r="F20" s="27"/>
      <c r="G20" s="27"/>
      <c r="H20" s="27"/>
      <c r="I20" s="30"/>
      <c r="J20" s="30"/>
      <c r="K20" s="12">
        <f t="shared" si="8"/>
        <v>10269.24</v>
      </c>
      <c r="L20" s="3">
        <v>1557.03</v>
      </c>
      <c r="M20" s="3">
        <f>48.84+828.38</f>
        <v>877.22</v>
      </c>
      <c r="N20" s="2">
        <f t="shared" si="9"/>
        <v>614.72999999999865</v>
      </c>
      <c r="O20" s="2">
        <f t="shared" si="2"/>
        <v>3048.9799999999987</v>
      </c>
      <c r="P20" s="18">
        <f t="shared" si="3"/>
        <v>7220.2600000000011</v>
      </c>
      <c r="Q20" s="24"/>
      <c r="R20" s="25">
        <v>7220.26</v>
      </c>
    </row>
    <row r="21" spans="1:18" x14ac:dyDescent="0.25">
      <c r="A21" s="45">
        <v>15</v>
      </c>
      <c r="B21" s="16" t="s">
        <v>86</v>
      </c>
      <c r="C21" s="14">
        <v>2139.62</v>
      </c>
      <c r="D21" s="27"/>
      <c r="E21" s="27"/>
      <c r="F21" s="27"/>
      <c r="G21" s="27"/>
      <c r="H21" s="27"/>
      <c r="I21" s="30"/>
      <c r="J21" s="30"/>
      <c r="K21" s="12">
        <f t="shared" ref="K21" si="10">SUM(C21:I21)</f>
        <v>2139.62</v>
      </c>
      <c r="L21" s="3"/>
      <c r="M21" s="3">
        <v>173.03</v>
      </c>
      <c r="N21" s="2">
        <f t="shared" ref="N21" si="11">K21-L21-M21-R21</f>
        <v>5.7200000000000273</v>
      </c>
      <c r="O21" s="2">
        <f t="shared" ref="O21" si="12">SUM(L21:N21)</f>
        <v>178.75000000000003</v>
      </c>
      <c r="P21" s="18">
        <f t="shared" ref="P21" si="13">SUM(K21-O21)</f>
        <v>1960.87</v>
      </c>
      <c r="Q21" s="24"/>
      <c r="R21" s="25">
        <v>1960.87</v>
      </c>
    </row>
    <row r="22" spans="1:18" x14ac:dyDescent="0.25">
      <c r="A22" s="45">
        <v>16</v>
      </c>
      <c r="B22" s="16" t="s">
        <v>9</v>
      </c>
      <c r="C22" s="14">
        <f>2771.37+304.85</f>
        <v>3076.22</v>
      </c>
      <c r="D22" s="27"/>
      <c r="E22" s="27"/>
      <c r="F22" s="27"/>
      <c r="G22" s="27"/>
      <c r="H22" s="27"/>
      <c r="I22" s="30"/>
      <c r="J22" s="30"/>
      <c r="K22" s="12">
        <f t="shared" si="8"/>
        <v>3076.22</v>
      </c>
      <c r="L22" s="3">
        <v>67.48</v>
      </c>
      <c r="M22" s="3">
        <v>272.47000000000003</v>
      </c>
      <c r="N22" s="2">
        <f t="shared" si="9"/>
        <v>7.1099999999996726</v>
      </c>
      <c r="O22" s="2">
        <f t="shared" si="2"/>
        <v>347.05999999999972</v>
      </c>
      <c r="P22" s="18">
        <f t="shared" si="3"/>
        <v>2729.16</v>
      </c>
      <c r="Q22" s="24"/>
      <c r="R22" s="25">
        <v>2729.16</v>
      </c>
    </row>
    <row r="23" spans="1:18" x14ac:dyDescent="0.25">
      <c r="A23" s="45">
        <v>17</v>
      </c>
      <c r="B23" s="16" t="s">
        <v>80</v>
      </c>
      <c r="C23" s="14">
        <v>3167.54</v>
      </c>
      <c r="D23" s="27"/>
      <c r="E23" s="27"/>
      <c r="F23" s="27"/>
      <c r="G23" s="27"/>
      <c r="H23" s="27"/>
      <c r="I23" s="30"/>
      <c r="J23" s="30"/>
      <c r="K23" s="12">
        <f t="shared" si="8"/>
        <v>3167.54</v>
      </c>
      <c r="L23" s="3">
        <v>77.819999999999993</v>
      </c>
      <c r="M23" s="3">
        <v>283.43</v>
      </c>
      <c r="N23" s="2">
        <f t="shared" ref="N23" si="14">K23-L23-M23-R23</f>
        <v>7.1100000000001273</v>
      </c>
      <c r="O23" s="2">
        <f t="shared" ref="O23" si="15">SUM(L23:N23)</f>
        <v>368.36000000000013</v>
      </c>
      <c r="P23" s="18">
        <f t="shared" ref="P23" si="16">SUM(K23-O23)</f>
        <v>2799.18</v>
      </c>
      <c r="Q23" s="24"/>
      <c r="R23" s="25">
        <v>2799.18</v>
      </c>
    </row>
    <row r="24" spans="1:18" x14ac:dyDescent="0.25">
      <c r="A24" s="45">
        <v>18</v>
      </c>
      <c r="B24" s="16" t="s">
        <v>10</v>
      </c>
      <c r="C24" s="14">
        <f>15270.08+9330.02</f>
        <v>24600.1</v>
      </c>
      <c r="D24" s="27">
        <v>20614.61</v>
      </c>
      <c r="E24" s="27"/>
      <c r="F24" s="27"/>
      <c r="G24" s="27"/>
      <c r="H24" s="27"/>
      <c r="I24" s="30"/>
      <c r="J24" s="30"/>
      <c r="K24" s="12">
        <f t="shared" si="8"/>
        <v>45214.71</v>
      </c>
      <c r="L24" s="3">
        <v>10343.41</v>
      </c>
      <c r="M24" s="3">
        <f>48.84+828.38</f>
        <v>877.22</v>
      </c>
      <c r="N24" s="2">
        <f t="shared" si="9"/>
        <v>3884.3500000000022</v>
      </c>
      <c r="O24" s="2">
        <f t="shared" si="2"/>
        <v>15104.980000000001</v>
      </c>
      <c r="P24" s="18">
        <f t="shared" si="3"/>
        <v>30109.729999999996</v>
      </c>
      <c r="Q24" s="24"/>
      <c r="R24" s="25">
        <v>30109.73</v>
      </c>
    </row>
    <row r="25" spans="1:18" x14ac:dyDescent="0.25">
      <c r="A25" s="45">
        <v>19</v>
      </c>
      <c r="B25" s="16" t="s">
        <v>11</v>
      </c>
      <c r="C25" s="14">
        <f>13962.05+4858.79</f>
        <v>18820.84</v>
      </c>
      <c r="D25" s="27">
        <v>2792.41</v>
      </c>
      <c r="E25" s="27"/>
      <c r="F25" s="27"/>
      <c r="G25" s="27"/>
      <c r="H25" s="27"/>
      <c r="I25" s="30"/>
      <c r="J25" s="30"/>
      <c r="K25" s="12">
        <f t="shared" si="8"/>
        <v>21613.25</v>
      </c>
      <c r="L25" s="3">
        <v>4780.91</v>
      </c>
      <c r="M25" s="3">
        <v>877.22</v>
      </c>
      <c r="N25" s="2">
        <f t="shared" si="9"/>
        <v>2394.9400000000005</v>
      </c>
      <c r="O25" s="2">
        <f t="shared" si="2"/>
        <v>8053.0700000000006</v>
      </c>
      <c r="P25" s="18">
        <f t="shared" si="3"/>
        <v>13560.18</v>
      </c>
      <c r="Q25" s="24"/>
      <c r="R25" s="25">
        <v>13560.18</v>
      </c>
    </row>
    <row r="26" spans="1:18" x14ac:dyDescent="0.25">
      <c r="A26" s="45">
        <v>20</v>
      </c>
      <c r="B26" s="16" t="s">
        <v>12</v>
      </c>
      <c r="C26" s="14">
        <f>5119.45+1384.03</f>
        <v>6503.48</v>
      </c>
      <c r="D26" s="27">
        <v>416.66</v>
      </c>
      <c r="E26" s="27"/>
      <c r="F26" s="27">
        <f>1023.89+255.97+426.62</f>
        <v>1706.48</v>
      </c>
      <c r="G26" s="27"/>
      <c r="H26" s="27">
        <f>3071.67+767.92</f>
        <v>3839.59</v>
      </c>
      <c r="I26" s="30"/>
      <c r="J26" s="30"/>
      <c r="K26" s="12">
        <f t="shared" si="8"/>
        <v>12466.21</v>
      </c>
      <c r="L26" s="3">
        <v>725.03</v>
      </c>
      <c r="M26" s="3">
        <f>330.06+547.16</f>
        <v>877.22</v>
      </c>
      <c r="N26" s="2">
        <f t="shared" si="9"/>
        <v>7498.3499999999985</v>
      </c>
      <c r="O26" s="2">
        <f t="shared" si="2"/>
        <v>9100.5999999999985</v>
      </c>
      <c r="P26" s="18">
        <f t="shared" si="3"/>
        <v>3365.6100000000006</v>
      </c>
      <c r="Q26" s="24"/>
      <c r="R26" s="25">
        <v>3365.61</v>
      </c>
    </row>
    <row r="27" spans="1:18" x14ac:dyDescent="0.25">
      <c r="A27" s="45">
        <v>21</v>
      </c>
      <c r="B27" s="16" t="s">
        <v>54</v>
      </c>
      <c r="C27" s="14">
        <v>3530.53</v>
      </c>
      <c r="D27" s="27"/>
      <c r="E27" s="27"/>
      <c r="F27" s="27"/>
      <c r="G27" s="27"/>
      <c r="H27" s="27"/>
      <c r="I27" s="30"/>
      <c r="J27" s="30"/>
      <c r="K27" s="12">
        <f t="shared" si="8"/>
        <v>3530.53</v>
      </c>
      <c r="L27" s="3">
        <v>125.73</v>
      </c>
      <c r="M27" s="3">
        <v>326.98</v>
      </c>
      <c r="N27" s="2">
        <f t="shared" si="9"/>
        <v>38.309999999999945</v>
      </c>
      <c r="O27" s="2">
        <f t="shared" si="2"/>
        <v>491.02</v>
      </c>
      <c r="P27" s="18">
        <f t="shared" si="3"/>
        <v>3039.51</v>
      </c>
      <c r="Q27" s="24"/>
      <c r="R27" s="25">
        <v>3039.51</v>
      </c>
    </row>
    <row r="28" spans="1:18" x14ac:dyDescent="0.25">
      <c r="A28" s="45">
        <v>22</v>
      </c>
      <c r="B28" s="16" t="s">
        <v>77</v>
      </c>
      <c r="C28" s="14">
        <f>13962.05+4858.79</f>
        <v>18820.84</v>
      </c>
      <c r="D28" s="27">
        <v>2792.41</v>
      </c>
      <c r="E28" s="27"/>
      <c r="F28" s="27"/>
      <c r="G28" s="27"/>
      <c r="H28" s="27"/>
      <c r="I28" s="30"/>
      <c r="J28" s="30"/>
      <c r="K28" s="12">
        <f t="shared" si="8"/>
        <v>21613.25</v>
      </c>
      <c r="L28" s="3">
        <v>4780.91</v>
      </c>
      <c r="M28" s="3">
        <v>877.22</v>
      </c>
      <c r="N28" s="2">
        <f t="shared" si="9"/>
        <v>5463.5400000000009</v>
      </c>
      <c r="O28" s="2">
        <f t="shared" si="2"/>
        <v>11121.670000000002</v>
      </c>
      <c r="P28" s="18">
        <f t="shared" si="3"/>
        <v>10491.579999999998</v>
      </c>
      <c r="Q28" s="24"/>
      <c r="R28" s="25">
        <v>10491.58</v>
      </c>
    </row>
    <row r="29" spans="1:18" x14ac:dyDescent="0.25">
      <c r="A29" s="45">
        <v>23</v>
      </c>
      <c r="B29" s="16" t="s">
        <v>13</v>
      </c>
      <c r="C29" s="14">
        <v>8109.21</v>
      </c>
      <c r="D29" s="27"/>
      <c r="E29" s="27"/>
      <c r="F29" s="27"/>
      <c r="G29" s="27"/>
      <c r="H29" s="27"/>
      <c r="I29" s="30"/>
      <c r="J29" s="30"/>
      <c r="K29" s="12">
        <f t="shared" si="8"/>
        <v>8109.21</v>
      </c>
      <c r="L29" s="3">
        <v>1067.3</v>
      </c>
      <c r="M29" s="3">
        <v>877.22</v>
      </c>
      <c r="N29" s="2">
        <f t="shared" si="9"/>
        <v>1674.2799999999997</v>
      </c>
      <c r="O29" s="2">
        <f t="shared" si="2"/>
        <v>3618.7999999999997</v>
      </c>
      <c r="P29" s="18">
        <f>SUM(K29-O29)+H29</f>
        <v>4490.41</v>
      </c>
      <c r="Q29" s="24"/>
      <c r="R29" s="25">
        <v>4490.41</v>
      </c>
    </row>
    <row r="30" spans="1:18" x14ac:dyDescent="0.25">
      <c r="A30" s="45">
        <v>24</v>
      </c>
      <c r="B30" s="16" t="s">
        <v>14</v>
      </c>
      <c r="C30" s="14">
        <f>8177.52+735.98</f>
        <v>8913.5</v>
      </c>
      <c r="D30" s="27"/>
      <c r="E30" s="27"/>
      <c r="F30" s="27"/>
      <c r="G30" s="27"/>
      <c r="H30" s="27"/>
      <c r="I30" s="30"/>
      <c r="J30" s="30"/>
      <c r="K30" s="12">
        <f t="shared" si="8"/>
        <v>8913.5</v>
      </c>
      <c r="L30" s="3">
        <v>1340.62</v>
      </c>
      <c r="M30" s="3">
        <f>436.57+440.65</f>
        <v>877.22</v>
      </c>
      <c r="N30" s="2">
        <f t="shared" si="9"/>
        <v>7.1099999999996726</v>
      </c>
      <c r="O30" s="2">
        <f t="shared" si="2"/>
        <v>2224.9499999999998</v>
      </c>
      <c r="P30" s="18">
        <f t="shared" si="3"/>
        <v>6688.55</v>
      </c>
      <c r="Q30" s="24"/>
      <c r="R30" s="25">
        <v>6688.55</v>
      </c>
    </row>
    <row r="31" spans="1:18" x14ac:dyDescent="0.25">
      <c r="A31" s="45">
        <v>25</v>
      </c>
      <c r="B31" s="16" t="s">
        <v>15</v>
      </c>
      <c r="C31" s="14">
        <f>5282.19+1552.65</f>
        <v>6834.84</v>
      </c>
      <c r="D31" s="27">
        <v>1468.47</v>
      </c>
      <c r="E31" s="27"/>
      <c r="F31" s="27"/>
      <c r="G31" s="27"/>
      <c r="H31" s="27"/>
      <c r="I31" s="30"/>
      <c r="J31" s="30"/>
      <c r="K31" s="12">
        <f t="shared" si="8"/>
        <v>8303.31</v>
      </c>
      <c r="L31" s="3">
        <v>1068.54</v>
      </c>
      <c r="M31" s="3">
        <f>327.74+549.48</f>
        <v>877.22</v>
      </c>
      <c r="N31" s="2">
        <f t="shared" si="9"/>
        <v>787.49999999999909</v>
      </c>
      <c r="O31" s="2">
        <f t="shared" si="2"/>
        <v>2733.2599999999993</v>
      </c>
      <c r="P31" s="18">
        <f t="shared" si="3"/>
        <v>5570.05</v>
      </c>
      <c r="Q31" s="24"/>
      <c r="R31" s="25">
        <v>5570.05</v>
      </c>
    </row>
    <row r="32" spans="1:18" x14ac:dyDescent="0.25">
      <c r="A32" s="45">
        <v>26</v>
      </c>
      <c r="B32" s="16" t="s">
        <v>16</v>
      </c>
      <c r="C32" s="14">
        <f>5631.73+1858.47</f>
        <v>7490.2</v>
      </c>
      <c r="D32" s="27"/>
      <c r="E32" s="27"/>
      <c r="F32" s="27"/>
      <c r="G32" s="27"/>
      <c r="H32" s="27"/>
      <c r="I32" s="30"/>
      <c r="J32" s="30"/>
      <c r="K32" s="12">
        <f t="shared" si="8"/>
        <v>7490.2</v>
      </c>
      <c r="L32" s="3">
        <v>949.87</v>
      </c>
      <c r="M32" s="3">
        <v>874.8</v>
      </c>
      <c r="N32" s="2">
        <f t="shared" si="9"/>
        <v>270.80999999999949</v>
      </c>
      <c r="O32" s="2">
        <f t="shared" si="2"/>
        <v>2095.4799999999996</v>
      </c>
      <c r="P32" s="18">
        <f t="shared" si="3"/>
        <v>5394.72</v>
      </c>
      <c r="Q32" s="24"/>
      <c r="R32" s="25">
        <v>5394.72</v>
      </c>
    </row>
    <row r="33" spans="1:18" x14ac:dyDescent="0.25">
      <c r="A33" s="45">
        <v>27</v>
      </c>
      <c r="B33" s="16" t="s">
        <v>58</v>
      </c>
      <c r="C33" s="14">
        <f>2111.14+84.45</f>
        <v>2195.5899999999997</v>
      </c>
      <c r="D33" s="27"/>
      <c r="E33" s="27"/>
      <c r="F33" s="27">
        <f>3166.72+126.67+1097.8</f>
        <v>4391.1899999999996</v>
      </c>
      <c r="G33" s="27"/>
      <c r="H33" s="27"/>
      <c r="I33" s="30"/>
      <c r="J33" s="30"/>
      <c r="K33" s="12">
        <f>SUM(C33:I33)</f>
        <v>6586.7799999999988</v>
      </c>
      <c r="L33" s="3">
        <v>252.68</v>
      </c>
      <c r="M33" s="3">
        <f>307.38+440.94</f>
        <v>748.31999999999994</v>
      </c>
      <c r="N33" s="2">
        <f t="shared" ref="N33" si="17">K33-L33-M33-R33</f>
        <v>3739.619999999999</v>
      </c>
      <c r="O33" s="2">
        <f t="shared" ref="O33" si="18">SUM(L33:N33)</f>
        <v>4740.619999999999</v>
      </c>
      <c r="P33" s="18">
        <f>SUM(K33-O33)+H33</f>
        <v>1846.1599999999999</v>
      </c>
      <c r="Q33" s="24"/>
      <c r="R33" s="25">
        <v>1846.16</v>
      </c>
    </row>
    <row r="34" spans="1:18" x14ac:dyDescent="0.25">
      <c r="A34" s="45">
        <v>28</v>
      </c>
      <c r="B34" s="16" t="s">
        <v>17</v>
      </c>
      <c r="C34" s="14">
        <f>1789.11+411.49</f>
        <v>2200.6</v>
      </c>
      <c r="D34" s="27"/>
      <c r="E34" s="27"/>
      <c r="F34" s="27">
        <f>357.82+82.3+146.71</f>
        <v>586.83000000000004</v>
      </c>
      <c r="G34" s="27">
        <f>715.64+164.6+293.41</f>
        <v>1173.6500000000001</v>
      </c>
      <c r="H34" s="27">
        <f>1073.46+246.9</f>
        <v>1320.3600000000001</v>
      </c>
      <c r="I34" s="30"/>
      <c r="J34" s="30"/>
      <c r="K34" s="12">
        <f>SUM(C34:I34)</f>
        <v>5281.4400000000005</v>
      </c>
      <c r="L34" s="3"/>
      <c r="M34" s="3">
        <f>193.8+44.01</f>
        <v>237.81</v>
      </c>
      <c r="N34" s="2">
        <f t="shared" si="9"/>
        <v>3780.7</v>
      </c>
      <c r="O34" s="2">
        <f t="shared" si="2"/>
        <v>4018.5099999999998</v>
      </c>
      <c r="P34" s="18">
        <f>SUM(K34-O34)+H34</f>
        <v>2583.2900000000009</v>
      </c>
      <c r="Q34" s="24"/>
      <c r="R34" s="25">
        <v>1262.93</v>
      </c>
    </row>
    <row r="35" spans="1:18" x14ac:dyDescent="0.25">
      <c r="A35" s="45">
        <v>29</v>
      </c>
      <c r="B35" s="16" t="s">
        <v>18</v>
      </c>
      <c r="C35" s="14">
        <f>5915.87+993.87</f>
        <v>6909.74</v>
      </c>
      <c r="D35" s="27">
        <v>1183.17</v>
      </c>
      <c r="E35" s="27"/>
      <c r="F35" s="27"/>
      <c r="G35" s="27"/>
      <c r="H35" s="27"/>
      <c r="I35" s="30"/>
      <c r="J35" s="30"/>
      <c r="K35" s="12">
        <f>SUM(C35:I35)</f>
        <v>8092.91</v>
      </c>
      <c r="L35" s="3">
        <v>1114.95</v>
      </c>
      <c r="M35" s="3">
        <v>877.22</v>
      </c>
      <c r="N35" s="2">
        <f t="shared" si="9"/>
        <v>67.050000000000182</v>
      </c>
      <c r="O35" s="2">
        <f t="shared" si="2"/>
        <v>2059.2200000000003</v>
      </c>
      <c r="P35" s="18">
        <f t="shared" si="3"/>
        <v>6033.69</v>
      </c>
      <c r="Q35" s="24"/>
      <c r="R35" s="25">
        <v>6033.69</v>
      </c>
    </row>
    <row r="36" spans="1:18" x14ac:dyDescent="0.25">
      <c r="A36" s="45">
        <v>30</v>
      </c>
      <c r="B36" s="16" t="s">
        <v>19</v>
      </c>
      <c r="C36" s="14">
        <f>13962.05+4356.16</f>
        <v>18318.21</v>
      </c>
      <c r="D36" s="27">
        <v>2792.41</v>
      </c>
      <c r="E36" s="27"/>
      <c r="F36" s="27"/>
      <c r="G36" s="27"/>
      <c r="H36" s="27"/>
      <c r="I36" s="30"/>
      <c r="J36" s="30"/>
      <c r="K36" s="12">
        <f t="shared" ref="K36:K42" si="19">SUM(C36:I36)</f>
        <v>21110.62</v>
      </c>
      <c r="L36" s="3">
        <v>4694.83</v>
      </c>
      <c r="M36" s="3">
        <v>877.22</v>
      </c>
      <c r="N36" s="2">
        <f t="shared" si="9"/>
        <v>485.52000000000226</v>
      </c>
      <c r="O36" s="2">
        <f t="shared" si="2"/>
        <v>6057.5700000000024</v>
      </c>
      <c r="P36" s="18">
        <f t="shared" si="3"/>
        <v>15053.049999999996</v>
      </c>
      <c r="Q36" s="24"/>
      <c r="R36" s="25">
        <v>15053.05</v>
      </c>
    </row>
    <row r="37" spans="1:18" x14ac:dyDescent="0.25">
      <c r="A37" s="45">
        <v>31</v>
      </c>
      <c r="B37" s="16" t="s">
        <v>81</v>
      </c>
      <c r="C37" s="14">
        <v>4659.1400000000003</v>
      </c>
      <c r="D37" s="27">
        <v>931.83</v>
      </c>
      <c r="E37" s="27"/>
      <c r="F37" s="27"/>
      <c r="G37" s="27"/>
      <c r="H37" s="27"/>
      <c r="I37" s="30"/>
      <c r="J37" s="30"/>
      <c r="K37" s="12">
        <f t="shared" si="19"/>
        <v>5590.97</v>
      </c>
      <c r="L37" s="3">
        <v>500.71</v>
      </c>
      <c r="M37" s="3">
        <v>608.91</v>
      </c>
      <c r="N37" s="2">
        <f t="shared" ref="N37" si="20">K37-L37-M37-R37</f>
        <v>7.1100000000005821</v>
      </c>
      <c r="O37" s="2">
        <f t="shared" ref="O37" si="21">SUM(L37:N37)</f>
        <v>1116.7300000000005</v>
      </c>
      <c r="P37" s="18">
        <f t="shared" ref="P37" si="22">SUM(K37-O37)</f>
        <v>4474.24</v>
      </c>
      <c r="Q37" s="24"/>
      <c r="R37" s="25">
        <v>4474.24</v>
      </c>
    </row>
    <row r="38" spans="1:18" x14ac:dyDescent="0.25">
      <c r="A38" s="45">
        <v>32</v>
      </c>
      <c r="B38" s="16" t="s">
        <v>59</v>
      </c>
      <c r="C38" s="14">
        <f>5799.31+904.69</f>
        <v>6704</v>
      </c>
      <c r="D38" s="27">
        <v>1159.8599999999999</v>
      </c>
      <c r="E38" s="27"/>
      <c r="F38" s="27"/>
      <c r="G38" s="27"/>
      <c r="H38" s="27"/>
      <c r="I38" s="30"/>
      <c r="J38" s="30"/>
      <c r="K38" s="12">
        <f t="shared" si="19"/>
        <v>7863.86</v>
      </c>
      <c r="L38" s="3">
        <v>1051.97</v>
      </c>
      <c r="M38" s="3">
        <v>877.22</v>
      </c>
      <c r="N38" s="2">
        <f t="shared" si="9"/>
        <v>31.829999999999018</v>
      </c>
      <c r="O38" s="2">
        <f t="shared" si="2"/>
        <v>1961.0199999999991</v>
      </c>
      <c r="P38" s="18">
        <f t="shared" si="3"/>
        <v>5902.84</v>
      </c>
      <c r="Q38" s="24"/>
      <c r="R38" s="25">
        <v>5902.84</v>
      </c>
    </row>
    <row r="39" spans="1:18" x14ac:dyDescent="0.25">
      <c r="A39" s="45">
        <v>33</v>
      </c>
      <c r="B39" s="16" t="s">
        <v>20</v>
      </c>
      <c r="C39" s="14">
        <f>5517.84+685.93</f>
        <v>6203.77</v>
      </c>
      <c r="D39" s="27">
        <f>1103.57+1000</f>
        <v>2103.5699999999997</v>
      </c>
      <c r="E39" s="27"/>
      <c r="F39" s="27"/>
      <c r="G39" s="27"/>
      <c r="H39" s="27"/>
      <c r="I39" s="30"/>
      <c r="J39" s="30"/>
      <c r="K39" s="12">
        <f t="shared" si="19"/>
        <v>8307.34</v>
      </c>
      <c r="L39" s="3">
        <v>1069.6500000000001</v>
      </c>
      <c r="M39" s="3">
        <f>152.89+724.33</f>
        <v>877.22</v>
      </c>
      <c r="N39" s="2">
        <f t="shared" si="9"/>
        <v>2295.15</v>
      </c>
      <c r="O39" s="2">
        <f t="shared" si="2"/>
        <v>4242.0200000000004</v>
      </c>
      <c r="P39" s="18">
        <f>SUM(K39-O39)+H39</f>
        <v>4065.3199999999997</v>
      </c>
      <c r="Q39" s="24"/>
      <c r="R39" s="25">
        <v>4065.32</v>
      </c>
    </row>
    <row r="40" spans="1:18" x14ac:dyDescent="0.25">
      <c r="A40" s="45">
        <v>34</v>
      </c>
      <c r="B40" s="16" t="s">
        <v>56</v>
      </c>
      <c r="C40" s="14">
        <v>2384.8200000000002</v>
      </c>
      <c r="D40" s="27"/>
      <c r="E40" s="27"/>
      <c r="F40" s="27"/>
      <c r="G40" s="27"/>
      <c r="H40" s="27"/>
      <c r="I40" s="30"/>
      <c r="J40" s="30"/>
      <c r="K40" s="12">
        <f t="shared" si="19"/>
        <v>2384.8200000000002</v>
      </c>
      <c r="L40" s="3">
        <v>21.43</v>
      </c>
      <c r="M40" s="3">
        <v>195.1</v>
      </c>
      <c r="N40" s="2">
        <f t="shared" ref="N40" si="23">K40-L40-M40-R40</f>
        <v>18.470000000000255</v>
      </c>
      <c r="O40" s="2">
        <f t="shared" ref="O40" si="24">SUM(L40:N40)</f>
        <v>235.00000000000026</v>
      </c>
      <c r="P40" s="18">
        <f t="shared" ref="P40" si="25">SUM(K40-O40)</f>
        <v>2149.8199999999997</v>
      </c>
      <c r="Q40" s="24"/>
      <c r="R40" s="25">
        <v>2149.8200000000002</v>
      </c>
    </row>
    <row r="41" spans="1:18" x14ac:dyDescent="0.25">
      <c r="A41" s="45">
        <v>35</v>
      </c>
      <c r="B41" s="16" t="s">
        <v>21</v>
      </c>
      <c r="C41" s="14">
        <f>3282.15+437.51</f>
        <v>3719.66</v>
      </c>
      <c r="D41" s="27">
        <v>83.3</v>
      </c>
      <c r="E41" s="27"/>
      <c r="F41" s="27"/>
      <c r="G41" s="27"/>
      <c r="H41" s="27"/>
      <c r="I41" s="30"/>
      <c r="J41" s="30"/>
      <c r="K41" s="12">
        <f t="shared" si="19"/>
        <v>3802.96</v>
      </c>
      <c r="L41" s="3">
        <v>161.69</v>
      </c>
      <c r="M41" s="3">
        <v>359.68</v>
      </c>
      <c r="N41" s="2">
        <f t="shared" si="9"/>
        <v>1058.73</v>
      </c>
      <c r="O41" s="2">
        <f t="shared" si="2"/>
        <v>1580.1</v>
      </c>
      <c r="P41" s="18">
        <f t="shared" si="3"/>
        <v>2222.86</v>
      </c>
      <c r="Q41" s="24"/>
      <c r="R41" s="25">
        <v>2222.86</v>
      </c>
    </row>
    <row r="42" spans="1:18" x14ac:dyDescent="0.25">
      <c r="A42" s="45">
        <v>36</v>
      </c>
      <c r="B42" s="16" t="s">
        <v>22</v>
      </c>
      <c r="C42" s="14">
        <f>13962.05+4691.25</f>
        <v>18653.3</v>
      </c>
      <c r="D42" s="27">
        <v>2792.41</v>
      </c>
      <c r="E42" s="27"/>
      <c r="F42" s="27"/>
      <c r="G42" s="27"/>
      <c r="H42" s="27"/>
      <c r="I42" s="30"/>
      <c r="J42" s="30"/>
      <c r="K42" s="12">
        <f t="shared" si="19"/>
        <v>21445.71</v>
      </c>
      <c r="L42" s="3">
        <v>4636.62</v>
      </c>
      <c r="M42" s="3">
        <f>214.52+662.7</f>
        <v>877.22</v>
      </c>
      <c r="N42" s="2">
        <f t="shared" si="9"/>
        <v>130.64000000000124</v>
      </c>
      <c r="O42" s="2">
        <f t="shared" si="2"/>
        <v>5644.4800000000014</v>
      </c>
      <c r="P42" s="18">
        <f t="shared" si="3"/>
        <v>15801.229999999998</v>
      </c>
      <c r="Q42" s="24"/>
      <c r="R42" s="25">
        <v>15801.23</v>
      </c>
    </row>
    <row r="43" spans="1:18" x14ac:dyDescent="0.25">
      <c r="A43" s="45">
        <v>37</v>
      </c>
      <c r="B43" s="34" t="s">
        <v>23</v>
      </c>
      <c r="C43" s="35">
        <f>2310.84+300.41</f>
        <v>2611.25</v>
      </c>
      <c r="D43" s="28"/>
      <c r="E43" s="28"/>
      <c r="F43" s="28"/>
      <c r="G43" s="28"/>
      <c r="H43" s="28"/>
      <c r="I43" s="33"/>
      <c r="J43" s="33"/>
      <c r="K43" s="36">
        <f t="shared" ref="K43:K52" si="26">SUM(C43:I43)</f>
        <v>2611.25</v>
      </c>
      <c r="L43" s="37">
        <v>36.79</v>
      </c>
      <c r="M43" s="37">
        <v>216.67</v>
      </c>
      <c r="N43" s="38">
        <f t="shared" ref="N43:N64" si="27">K43-L43-M43-R43</f>
        <v>971.59999999999991</v>
      </c>
      <c r="O43" s="38">
        <f t="shared" si="2"/>
        <v>1225.06</v>
      </c>
      <c r="P43" s="39">
        <f t="shared" si="3"/>
        <v>1386.19</v>
      </c>
      <c r="Q43" s="24"/>
      <c r="R43" s="25">
        <v>1386.19</v>
      </c>
    </row>
    <row r="44" spans="1:18" x14ac:dyDescent="0.25">
      <c r="A44" s="45">
        <v>38</v>
      </c>
      <c r="B44" s="34" t="s">
        <v>82</v>
      </c>
      <c r="C44" s="35">
        <v>3167.54</v>
      </c>
      <c r="D44" s="28"/>
      <c r="E44" s="28"/>
      <c r="F44" s="28"/>
      <c r="G44" s="28"/>
      <c r="H44" s="28"/>
      <c r="I44" s="33"/>
      <c r="J44" s="33"/>
      <c r="K44" s="36">
        <f t="shared" ref="K44" si="28">SUM(C44:I44)</f>
        <v>3167.54</v>
      </c>
      <c r="L44" s="37">
        <v>59.29</v>
      </c>
      <c r="M44" s="37">
        <v>283.43</v>
      </c>
      <c r="N44" s="38">
        <f t="shared" ref="N44" si="29">K44-L44-M44-R44</f>
        <v>198.26000000000022</v>
      </c>
      <c r="O44" s="38">
        <f t="shared" ref="O44" si="30">SUM(L44:N44)</f>
        <v>540.98000000000025</v>
      </c>
      <c r="P44" s="39">
        <f t="shared" ref="P44" si="31">SUM(K44-O44)</f>
        <v>2626.5599999999995</v>
      </c>
      <c r="Q44" s="24"/>
      <c r="R44" s="25">
        <v>2626.56</v>
      </c>
    </row>
    <row r="45" spans="1:18" x14ac:dyDescent="0.25">
      <c r="A45" s="45">
        <v>39</v>
      </c>
      <c r="B45" s="16" t="s">
        <v>24</v>
      </c>
      <c r="C45" s="14">
        <f>4167.45+1188.51</f>
        <v>5355.96</v>
      </c>
      <c r="D45" s="27">
        <v>1000</v>
      </c>
      <c r="E45" s="27"/>
      <c r="F45" s="27"/>
      <c r="G45" s="27"/>
      <c r="H45" s="27"/>
      <c r="I45" s="31"/>
      <c r="J45" s="31"/>
      <c r="K45" s="12">
        <f t="shared" si="26"/>
        <v>6355.96</v>
      </c>
      <c r="L45" s="3">
        <v>681.63</v>
      </c>
      <c r="M45" s="3">
        <v>716.01</v>
      </c>
      <c r="N45" s="2">
        <f t="shared" si="27"/>
        <v>632.61999999999989</v>
      </c>
      <c r="O45" s="2">
        <f t="shared" si="2"/>
        <v>2030.2599999999998</v>
      </c>
      <c r="P45" s="18">
        <f t="shared" si="3"/>
        <v>4325.7000000000007</v>
      </c>
      <c r="Q45" s="24"/>
      <c r="R45" s="25">
        <v>4325.7</v>
      </c>
    </row>
    <row r="46" spans="1:18" x14ac:dyDescent="0.25">
      <c r="A46" s="45">
        <v>40</v>
      </c>
      <c r="B46" s="16" t="s">
        <v>25</v>
      </c>
      <c r="C46" s="14">
        <f>9214.63+1474.34</f>
        <v>10688.97</v>
      </c>
      <c r="D46" s="27"/>
      <c r="E46" s="27"/>
      <c r="F46" s="27"/>
      <c r="G46" s="27"/>
      <c r="H46" s="27"/>
      <c r="I46" s="31">
        <v>1914.29</v>
      </c>
      <c r="J46" s="31"/>
      <c r="K46" s="12">
        <f t="shared" si="26"/>
        <v>12603.259999999998</v>
      </c>
      <c r="L46" s="3">
        <v>2303.16</v>
      </c>
      <c r="M46" s="3">
        <f>109.92+767.3</f>
        <v>877.21999999999991</v>
      </c>
      <c r="N46" s="2">
        <f t="shared" si="27"/>
        <v>812.5</v>
      </c>
      <c r="O46" s="2">
        <f t="shared" si="2"/>
        <v>3992.8799999999997</v>
      </c>
      <c r="P46" s="18">
        <f t="shared" si="3"/>
        <v>8610.3799999999992</v>
      </c>
      <c r="Q46" s="24"/>
      <c r="R46" s="25">
        <v>8610.3799999999992</v>
      </c>
    </row>
    <row r="47" spans="1:18" x14ac:dyDescent="0.25">
      <c r="A47" s="45">
        <v>41</v>
      </c>
      <c r="B47" s="16" t="s">
        <v>26</v>
      </c>
      <c r="C47" s="14">
        <f>6211.79+3358.05</f>
        <v>9569.84</v>
      </c>
      <c r="D47" s="27">
        <v>6703.8</v>
      </c>
      <c r="E47" s="27"/>
      <c r="F47" s="27"/>
      <c r="G47" s="27"/>
      <c r="H47" s="27"/>
      <c r="I47" s="31"/>
      <c r="J47" s="31"/>
      <c r="K47" s="12">
        <f t="shared" si="26"/>
        <v>16273.64</v>
      </c>
      <c r="L47" s="3">
        <v>3364.66</v>
      </c>
      <c r="M47" s="3">
        <f>48.84+828.38</f>
        <v>877.22</v>
      </c>
      <c r="N47" s="2">
        <f>K47-L47-M47-R47</f>
        <v>1029.7700000000004</v>
      </c>
      <c r="O47" s="2">
        <f>SUM(L47:N47)</f>
        <v>5271.6500000000005</v>
      </c>
      <c r="P47" s="18">
        <f t="shared" si="3"/>
        <v>11001.989999999998</v>
      </c>
      <c r="Q47" s="24"/>
      <c r="R47" s="25">
        <v>11001.99</v>
      </c>
    </row>
    <row r="48" spans="1:18" x14ac:dyDescent="0.25">
      <c r="A48" s="45">
        <v>42</v>
      </c>
      <c r="B48" s="16" t="s">
        <v>27</v>
      </c>
      <c r="C48" s="14">
        <f>5799.31+1113.47</f>
        <v>6912.7800000000007</v>
      </c>
      <c r="D48" s="27">
        <v>1159.8599999999999</v>
      </c>
      <c r="E48" s="27"/>
      <c r="F48" s="27"/>
      <c r="G48" s="27"/>
      <c r="H48" s="27"/>
      <c r="I48" s="31"/>
      <c r="J48" s="31"/>
      <c r="K48" s="12">
        <f t="shared" si="26"/>
        <v>8072.64</v>
      </c>
      <c r="L48" s="3">
        <v>1005.11</v>
      </c>
      <c r="M48" s="3">
        <f>136.91+740.31</f>
        <v>877.21999999999991</v>
      </c>
      <c r="N48" s="2">
        <f t="shared" si="27"/>
        <v>550.09000000000015</v>
      </c>
      <c r="O48" s="2">
        <f t="shared" si="2"/>
        <v>2432.42</v>
      </c>
      <c r="P48" s="18">
        <f t="shared" si="3"/>
        <v>5640.22</v>
      </c>
      <c r="Q48" s="24"/>
      <c r="R48" s="25">
        <v>5640.22</v>
      </c>
    </row>
    <row r="49" spans="1:18" x14ac:dyDescent="0.25">
      <c r="A49" s="45">
        <v>43</v>
      </c>
      <c r="B49" s="16" t="s">
        <v>83</v>
      </c>
      <c r="C49" s="14">
        <v>2139.62</v>
      </c>
      <c r="D49" s="27"/>
      <c r="E49" s="27"/>
      <c r="F49" s="27"/>
      <c r="G49" s="27"/>
      <c r="H49" s="27"/>
      <c r="I49" s="31"/>
      <c r="J49" s="31"/>
      <c r="K49" s="12">
        <f t="shared" si="26"/>
        <v>2139.62</v>
      </c>
      <c r="L49" s="3"/>
      <c r="M49" s="3">
        <v>173.03</v>
      </c>
      <c r="N49" s="2">
        <f t="shared" ref="N49" si="32">K49-L49-M49-R49</f>
        <v>32.069999999999936</v>
      </c>
      <c r="O49" s="2">
        <f t="shared" ref="O49" si="33">SUM(L49:N49)</f>
        <v>205.09999999999994</v>
      </c>
      <c r="P49" s="18">
        <f t="shared" ref="P49" si="34">SUM(K49-O49)</f>
        <v>1934.52</v>
      </c>
      <c r="Q49" s="24"/>
      <c r="R49" s="25">
        <v>1934.52</v>
      </c>
    </row>
    <row r="50" spans="1:18" x14ac:dyDescent="0.25">
      <c r="A50" s="45">
        <v>44</v>
      </c>
      <c r="B50" s="16" t="s">
        <v>28</v>
      </c>
      <c r="C50" s="14">
        <f>6403.56+1921.07</f>
        <v>8324.630000000001</v>
      </c>
      <c r="D50" s="27"/>
      <c r="E50" s="27"/>
      <c r="F50" s="27"/>
      <c r="G50" s="27"/>
      <c r="H50" s="27"/>
      <c r="I50" s="31"/>
      <c r="J50" s="31"/>
      <c r="K50" s="12">
        <f t="shared" si="26"/>
        <v>8324.630000000001</v>
      </c>
      <c r="L50" s="3">
        <v>1126.54</v>
      </c>
      <c r="M50" s="3">
        <f>304.96+572.26</f>
        <v>877.22</v>
      </c>
      <c r="N50" s="2">
        <f t="shared" si="27"/>
        <v>632.29000000000087</v>
      </c>
      <c r="O50" s="2">
        <f t="shared" si="2"/>
        <v>2636.0500000000011</v>
      </c>
      <c r="P50" s="18">
        <f>SUM(K50-O50)+H50</f>
        <v>5688.58</v>
      </c>
      <c r="Q50" s="24"/>
      <c r="R50" s="25">
        <v>5688.58</v>
      </c>
    </row>
    <row r="51" spans="1:18" x14ac:dyDescent="0.25">
      <c r="A51" s="45">
        <v>45</v>
      </c>
      <c r="B51" s="16" t="s">
        <v>29</v>
      </c>
      <c r="C51" s="14">
        <f>5799.31+904.69</f>
        <v>6704</v>
      </c>
      <c r="D51" s="27">
        <v>1159.8599999999999</v>
      </c>
      <c r="E51" s="27"/>
      <c r="F51" s="27"/>
      <c r="G51" s="27"/>
      <c r="H51" s="27"/>
      <c r="I51" s="31"/>
      <c r="J51" s="31"/>
      <c r="K51" s="12">
        <f t="shared" si="26"/>
        <v>7863.86</v>
      </c>
      <c r="L51" s="3">
        <v>1051.97</v>
      </c>
      <c r="M51" s="3">
        <v>877.22</v>
      </c>
      <c r="N51" s="2">
        <f t="shared" si="27"/>
        <v>996.3799999999992</v>
      </c>
      <c r="O51" s="2">
        <f t="shared" si="2"/>
        <v>2925.5699999999993</v>
      </c>
      <c r="P51" s="18">
        <f>SUM(K51-O51)+H51</f>
        <v>4938.2900000000009</v>
      </c>
      <c r="Q51" s="24"/>
      <c r="R51" s="25">
        <v>4938.29</v>
      </c>
    </row>
    <row r="52" spans="1:18" x14ac:dyDescent="0.25">
      <c r="A52" s="45">
        <v>46</v>
      </c>
      <c r="B52" s="16" t="s">
        <v>30</v>
      </c>
      <c r="C52" s="14">
        <f>4473.12+581.51</f>
        <v>5054.63</v>
      </c>
      <c r="D52" s="27"/>
      <c r="E52" s="27"/>
      <c r="F52" s="27"/>
      <c r="G52" s="27"/>
      <c r="H52" s="27"/>
      <c r="I52" s="31"/>
      <c r="J52" s="31"/>
      <c r="K52" s="12">
        <f t="shared" si="26"/>
        <v>5054.63</v>
      </c>
      <c r="L52" s="3">
        <v>295.74</v>
      </c>
      <c r="M52" s="3">
        <v>533.82000000000005</v>
      </c>
      <c r="N52" s="2">
        <f t="shared" si="27"/>
        <v>855.57000000000062</v>
      </c>
      <c r="O52" s="2">
        <f t="shared" si="2"/>
        <v>1685.1300000000006</v>
      </c>
      <c r="P52" s="18">
        <f t="shared" si="3"/>
        <v>3369.4999999999995</v>
      </c>
      <c r="Q52" s="24"/>
      <c r="R52" s="25">
        <v>3369.5</v>
      </c>
    </row>
    <row r="53" spans="1:18" x14ac:dyDescent="0.25">
      <c r="A53" s="45">
        <v>47</v>
      </c>
      <c r="B53" s="16" t="s">
        <v>31</v>
      </c>
      <c r="C53" s="14">
        <f>5799.31+1136.66</f>
        <v>6935.97</v>
      </c>
      <c r="D53" s="27">
        <v>2319.7199999999998</v>
      </c>
      <c r="E53" s="27"/>
      <c r="F53" s="27"/>
      <c r="G53" s="27"/>
      <c r="H53" s="27"/>
      <c r="I53" s="31"/>
      <c r="J53" s="31"/>
      <c r="K53" s="12">
        <f t="shared" ref="K53:K61" si="35">SUM(C53:I53)</f>
        <v>9255.69</v>
      </c>
      <c r="L53" s="3">
        <v>1382.58</v>
      </c>
      <c r="M53" s="3">
        <f>830.55+46.67</f>
        <v>877.21999999999991</v>
      </c>
      <c r="N53" s="2">
        <f t="shared" si="27"/>
        <v>254.17000000000007</v>
      </c>
      <c r="O53" s="2">
        <f t="shared" si="2"/>
        <v>2513.9699999999998</v>
      </c>
      <c r="P53" s="18">
        <f t="shared" si="3"/>
        <v>6741.7200000000012</v>
      </c>
      <c r="Q53" s="24"/>
      <c r="R53" s="25">
        <v>6741.72</v>
      </c>
    </row>
    <row r="54" spans="1:18" x14ac:dyDescent="0.25">
      <c r="A54" s="45">
        <v>48</v>
      </c>
      <c r="B54" s="16" t="s">
        <v>32</v>
      </c>
      <c r="C54" s="14">
        <f>5998.6+599.86</f>
        <v>6598.46</v>
      </c>
      <c r="D54" s="27"/>
      <c r="E54" s="27"/>
      <c r="F54" s="27"/>
      <c r="G54" s="27"/>
      <c r="H54" s="27"/>
      <c r="I54" s="31"/>
      <c r="J54" s="31"/>
      <c r="K54" s="12">
        <f t="shared" si="35"/>
        <v>6598.46</v>
      </c>
      <c r="L54" s="3">
        <v>686.84</v>
      </c>
      <c r="M54" s="3">
        <v>749.86</v>
      </c>
      <c r="N54" s="2">
        <f t="shared" si="27"/>
        <v>1012.7600000000002</v>
      </c>
      <c r="O54" s="2">
        <f t="shared" si="2"/>
        <v>2449.46</v>
      </c>
      <c r="P54" s="18">
        <f t="shared" si="3"/>
        <v>4149</v>
      </c>
      <c r="Q54" s="24"/>
      <c r="R54" s="25">
        <v>4149</v>
      </c>
    </row>
    <row r="55" spans="1:18" x14ac:dyDescent="0.25">
      <c r="A55" s="45">
        <v>49</v>
      </c>
      <c r="B55" s="16" t="s">
        <v>55</v>
      </c>
      <c r="C55" s="14">
        <f>2271.26+113.56</f>
        <v>2384.8200000000002</v>
      </c>
      <c r="D55" s="27"/>
      <c r="E55" s="27"/>
      <c r="F55" s="27"/>
      <c r="G55" s="27"/>
      <c r="H55" s="27"/>
      <c r="I55" s="31"/>
      <c r="J55" s="31"/>
      <c r="K55" s="12">
        <f t="shared" si="35"/>
        <v>2384.8200000000002</v>
      </c>
      <c r="L55" s="3">
        <v>21.43</v>
      </c>
      <c r="M55" s="3">
        <v>195.1</v>
      </c>
      <c r="N55" s="2">
        <f t="shared" ref="N55" si="36">K55-L55-M55-R55</f>
        <v>7.1100000000005821</v>
      </c>
      <c r="O55" s="2">
        <f t="shared" ref="O55" si="37">SUM(L55:N55)</f>
        <v>223.64000000000058</v>
      </c>
      <c r="P55" s="18">
        <f t="shared" ref="P55" si="38">SUM(K55-O55)</f>
        <v>2161.1799999999994</v>
      </c>
      <c r="Q55" s="24"/>
      <c r="R55" s="25">
        <v>2161.1799999999998</v>
      </c>
    </row>
    <row r="56" spans="1:18" x14ac:dyDescent="0.25">
      <c r="A56" s="45">
        <v>50</v>
      </c>
      <c r="B56" s="16" t="s">
        <v>33</v>
      </c>
      <c r="C56" s="14">
        <f>13962.05+5051.34</f>
        <v>19013.39</v>
      </c>
      <c r="D56" s="27">
        <f>2792.41+83.34</f>
        <v>2875.75</v>
      </c>
      <c r="E56" s="27"/>
      <c r="F56" s="27"/>
      <c r="G56" s="27"/>
      <c r="H56" s="27"/>
      <c r="I56" s="31"/>
      <c r="J56" s="31"/>
      <c r="K56" s="12">
        <f t="shared" si="35"/>
        <v>21889.14</v>
      </c>
      <c r="L56" s="3">
        <v>4908.92</v>
      </c>
      <c r="M56" s="3">
        <v>877.22</v>
      </c>
      <c r="N56" s="2">
        <f t="shared" si="27"/>
        <v>31.000000000001819</v>
      </c>
      <c r="O56" s="2">
        <f t="shared" si="2"/>
        <v>5817.1400000000021</v>
      </c>
      <c r="P56" s="18">
        <f>SUM(K56-O56)+H56</f>
        <v>16071.999999999996</v>
      </c>
      <c r="Q56" s="24"/>
      <c r="R56" s="25">
        <v>16072</v>
      </c>
    </row>
    <row r="57" spans="1:18" x14ac:dyDescent="0.25">
      <c r="A57" s="45">
        <v>51</v>
      </c>
      <c r="B57" s="16" t="s">
        <v>34</v>
      </c>
      <c r="C57" s="14">
        <v>2707.38</v>
      </c>
      <c r="D57" s="27"/>
      <c r="E57" s="27"/>
      <c r="F57" s="27"/>
      <c r="G57" s="27"/>
      <c r="H57" s="27"/>
      <c r="I57" s="31"/>
      <c r="J57" s="31"/>
      <c r="K57" s="12">
        <f t="shared" si="35"/>
        <v>2707.38</v>
      </c>
      <c r="L57" s="3">
        <v>43.14</v>
      </c>
      <c r="M57" s="3">
        <v>228.21</v>
      </c>
      <c r="N57" s="2">
        <f t="shared" si="27"/>
        <v>43.740000000000236</v>
      </c>
      <c r="O57" s="2">
        <f t="shared" si="2"/>
        <v>315.09000000000026</v>
      </c>
      <c r="P57" s="18">
        <f t="shared" si="3"/>
        <v>2392.29</v>
      </c>
      <c r="Q57" s="24"/>
      <c r="R57" s="25">
        <v>2392.29</v>
      </c>
    </row>
    <row r="58" spans="1:18" x14ac:dyDescent="0.25">
      <c r="A58" s="45">
        <v>52</v>
      </c>
      <c r="B58" s="16" t="s">
        <v>74</v>
      </c>
      <c r="C58" s="14">
        <f>2639.63+61.13</f>
        <v>2700.76</v>
      </c>
      <c r="D58" s="27">
        <v>416.7</v>
      </c>
      <c r="E58" s="27"/>
      <c r="F58" s="27">
        <f>527.93+10.56+179.5</f>
        <v>717.9899999999999</v>
      </c>
      <c r="G58" s="27">
        <f>1055.85+21.12+358.99</f>
        <v>1435.9599999999998</v>
      </c>
      <c r="H58" s="27">
        <f>1583.78+31.68</f>
        <v>1615.46</v>
      </c>
      <c r="I58" s="31"/>
      <c r="J58" s="31"/>
      <c r="K58" s="12">
        <f t="shared" si="35"/>
        <v>6886.87</v>
      </c>
      <c r="L58" s="3">
        <v>67.78</v>
      </c>
      <c r="M58" s="3">
        <v>309.73</v>
      </c>
      <c r="N58" s="2">
        <f t="shared" ref="N58" si="39">K58-L58-M58-R58</f>
        <v>3807.4400000000005</v>
      </c>
      <c r="O58" s="2">
        <f t="shared" ref="O58" si="40">SUM(L58:N58)</f>
        <v>4184.9500000000007</v>
      </c>
      <c r="P58" s="18">
        <f t="shared" ref="P58" si="41">SUM(K58-O58)</f>
        <v>2701.9199999999992</v>
      </c>
      <c r="Q58" s="24"/>
      <c r="R58" s="25">
        <v>2701.92</v>
      </c>
    </row>
    <row r="59" spans="1:18" x14ac:dyDescent="0.25">
      <c r="A59" s="45">
        <v>53</v>
      </c>
      <c r="B59" s="16" t="s">
        <v>84</v>
      </c>
      <c r="C59" s="14">
        <v>3167.54</v>
      </c>
      <c r="D59" s="27"/>
      <c r="E59" s="27"/>
      <c r="F59" s="27"/>
      <c r="G59" s="27"/>
      <c r="H59" s="27"/>
      <c r="I59" s="31"/>
      <c r="J59" s="31"/>
      <c r="K59" s="12">
        <f t="shared" si="35"/>
        <v>3167.54</v>
      </c>
      <c r="L59" s="3">
        <v>77.819999999999993</v>
      </c>
      <c r="M59" s="3">
        <v>283.43</v>
      </c>
      <c r="N59" s="2">
        <f t="shared" ref="N59" si="42">K59-L59-M59-R59</f>
        <v>228.36000000000013</v>
      </c>
      <c r="O59" s="2">
        <f t="shared" ref="O59" si="43">SUM(L59:N59)</f>
        <v>589.61000000000013</v>
      </c>
      <c r="P59" s="18">
        <f t="shared" ref="P59" si="44">SUM(K59-O59)</f>
        <v>2577.9299999999998</v>
      </c>
      <c r="Q59" s="24"/>
      <c r="R59" s="25">
        <v>2577.9299999999998</v>
      </c>
    </row>
    <row r="60" spans="1:18" x14ac:dyDescent="0.25">
      <c r="A60" s="45">
        <v>54</v>
      </c>
      <c r="B60" s="16" t="s">
        <v>35</v>
      </c>
      <c r="C60" s="14">
        <f>12110.38+5764.54</f>
        <v>17874.919999999998</v>
      </c>
      <c r="D60" s="27">
        <v>4844.1499999999996</v>
      </c>
      <c r="E60" s="27"/>
      <c r="F60" s="27"/>
      <c r="G60" s="27"/>
      <c r="H60" s="27"/>
      <c r="I60" s="31"/>
      <c r="J60" s="31"/>
      <c r="K60" s="12">
        <f t="shared" si="35"/>
        <v>22719.07</v>
      </c>
      <c r="L60" s="3">
        <v>5085.01</v>
      </c>
      <c r="M60" s="3">
        <v>877.22</v>
      </c>
      <c r="N60" s="2">
        <f t="shared" si="27"/>
        <v>1753.9499999999971</v>
      </c>
      <c r="O60" s="2">
        <f t="shared" si="2"/>
        <v>7716.1799999999976</v>
      </c>
      <c r="P60" s="18">
        <f>SUM(K60-O60)+H60</f>
        <v>15002.890000000003</v>
      </c>
      <c r="Q60" s="24"/>
      <c r="R60" s="25">
        <v>15002.89</v>
      </c>
    </row>
    <row r="61" spans="1:18" x14ac:dyDescent="0.25">
      <c r="A61" s="45">
        <v>55</v>
      </c>
      <c r="B61" s="16" t="s">
        <v>36</v>
      </c>
      <c r="C61" s="14">
        <f>2324.75+720.67</f>
        <v>3045.42</v>
      </c>
      <c r="D61" s="27"/>
      <c r="E61" s="27"/>
      <c r="F61" s="27">
        <f>2324.75+720.67+1015.14</f>
        <v>4060.56</v>
      </c>
      <c r="G61" s="27">
        <f>929.9+288.27+406.06</f>
        <v>1624.23</v>
      </c>
      <c r="H61" s="27">
        <f>2324.75+720.67</f>
        <v>3045.42</v>
      </c>
      <c r="I61" s="31"/>
      <c r="J61" s="31"/>
      <c r="K61" s="12">
        <f t="shared" si="35"/>
        <v>11775.63</v>
      </c>
      <c r="L61" s="3">
        <f>39.41+166.65</f>
        <v>206.06</v>
      </c>
      <c r="M61" s="3">
        <f>426.36+394.65</f>
        <v>821.01</v>
      </c>
      <c r="N61" s="2">
        <f t="shared" si="27"/>
        <v>9855.5499999999993</v>
      </c>
      <c r="O61" s="2">
        <f t="shared" si="2"/>
        <v>10882.619999999999</v>
      </c>
      <c r="P61" s="18">
        <f t="shared" si="3"/>
        <v>893.01000000000022</v>
      </c>
      <c r="Q61" s="24"/>
      <c r="R61" s="25">
        <v>893.01</v>
      </c>
    </row>
    <row r="62" spans="1:18" x14ac:dyDescent="0.25">
      <c r="A62" s="45">
        <v>56</v>
      </c>
      <c r="B62" s="16" t="s">
        <v>61</v>
      </c>
      <c r="C62" s="14">
        <v>4895.37</v>
      </c>
      <c r="D62" s="27"/>
      <c r="E62" s="27"/>
      <c r="F62" s="27"/>
      <c r="G62" s="27"/>
      <c r="H62" s="27"/>
      <c r="I62" s="31"/>
      <c r="J62" s="31"/>
      <c r="K62" s="12">
        <f>SUM(C62:I62)</f>
        <v>4895.37</v>
      </c>
      <c r="L62" s="3">
        <v>350.23</v>
      </c>
      <c r="M62" s="3">
        <v>511.53</v>
      </c>
      <c r="N62" s="2">
        <f t="shared" ref="N62" si="45">K62-L62-M62-R62</f>
        <v>1121.9599999999996</v>
      </c>
      <c r="O62" s="2">
        <f t="shared" ref="O62" si="46">SUM(L62:N62)</f>
        <v>1983.7199999999996</v>
      </c>
      <c r="P62" s="18">
        <f t="shared" ref="P62" si="47">SUM(K62-O62)</f>
        <v>2911.6500000000005</v>
      </c>
      <c r="Q62" s="24"/>
      <c r="R62" s="25">
        <v>2911.65</v>
      </c>
    </row>
    <row r="63" spans="1:18" x14ac:dyDescent="0.25">
      <c r="A63" s="45">
        <v>57</v>
      </c>
      <c r="B63" s="50" t="s">
        <v>85</v>
      </c>
      <c r="C63" s="51">
        <v>3167.54</v>
      </c>
      <c r="D63" s="52"/>
      <c r="E63" s="52"/>
      <c r="F63" s="52"/>
      <c r="G63" s="52"/>
      <c r="H63" s="52"/>
      <c r="I63" s="53"/>
      <c r="J63" s="53"/>
      <c r="K63" s="12">
        <f>SUM(C63:I63)</f>
        <v>3167.54</v>
      </c>
      <c r="L63" s="54">
        <v>77.819999999999993</v>
      </c>
      <c r="M63" s="54">
        <v>283.43</v>
      </c>
      <c r="N63" s="2">
        <f t="shared" ref="N63" si="48">K63-L63-M63-R63</f>
        <v>38.309999999999945</v>
      </c>
      <c r="O63" s="2">
        <f t="shared" ref="O63" si="49">SUM(L63:N63)</f>
        <v>399.55999999999995</v>
      </c>
      <c r="P63" s="18">
        <f t="shared" ref="P63" si="50">SUM(K63-O63)</f>
        <v>2767.98</v>
      </c>
      <c r="Q63" s="24"/>
      <c r="R63" s="25">
        <v>2767.98</v>
      </c>
    </row>
    <row r="64" spans="1:18" ht="15.75" thickBot="1" x14ac:dyDescent="0.3">
      <c r="A64" s="45">
        <v>58</v>
      </c>
      <c r="B64" s="17" t="s">
        <v>37</v>
      </c>
      <c r="C64" s="15">
        <f>9306.78+1824.13</f>
        <v>11130.91</v>
      </c>
      <c r="D64" s="29">
        <v>3722.71</v>
      </c>
      <c r="E64" s="29"/>
      <c r="F64" s="29"/>
      <c r="G64" s="29"/>
      <c r="H64" s="29"/>
      <c r="I64" s="32">
        <v>1914.28</v>
      </c>
      <c r="J64" s="32"/>
      <c r="K64" s="13">
        <f>SUM(C64:J64)</f>
        <v>16767.899999999998</v>
      </c>
      <c r="L64" s="10">
        <v>3448.44</v>
      </c>
      <c r="M64" s="10">
        <f>755.18+122.04</f>
        <v>877.21999999999991</v>
      </c>
      <c r="N64" s="11">
        <f t="shared" si="27"/>
        <v>68.239999999997963</v>
      </c>
      <c r="O64" s="11">
        <f t="shared" si="2"/>
        <v>4393.8999999999978</v>
      </c>
      <c r="P64" s="19">
        <f t="shared" si="3"/>
        <v>12374</v>
      </c>
      <c r="Q64" s="24"/>
      <c r="R64" s="25">
        <v>12374</v>
      </c>
    </row>
    <row r="65" spans="2:16" ht="15.75" thickBot="1" x14ac:dyDescent="0.3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4" t="s">
        <v>78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6"/>
    </row>
    <row r="67" spans="2:16" x14ac:dyDescent="0.25">
      <c r="B67" s="68" t="s">
        <v>76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ht="5.25" customHeight="1" x14ac:dyDescent="0.25"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60"/>
    </row>
    <row r="69" spans="2:16" x14ac:dyDescent="0.25">
      <c r="B69" s="61" t="s">
        <v>70</v>
      </c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3"/>
    </row>
    <row r="70" spans="2:16" x14ac:dyDescent="0.25">
      <c r="B70" s="58" t="s">
        <v>67</v>
      </c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60"/>
    </row>
    <row r="71" spans="2:16" x14ac:dyDescent="0.25">
      <c r="B71" s="58" t="s">
        <v>68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</row>
    <row r="72" spans="2:16" x14ac:dyDescent="0.25">
      <c r="B72" s="58" t="s">
        <v>69</v>
      </c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60"/>
    </row>
    <row r="73" spans="2:16" ht="15.75" thickBot="1" x14ac:dyDescent="0.3">
      <c r="B73" s="55" t="s">
        <v>88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7"/>
    </row>
    <row r="74" spans="2:16" x14ac:dyDescent="0.25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2:16" x14ac:dyDescent="0.25">
      <c r="B75" s="6"/>
      <c r="C75" s="5"/>
      <c r="D75" s="5"/>
      <c r="E75" s="5"/>
      <c r="F75" s="5"/>
      <c r="G75" s="5"/>
      <c r="H75" s="5"/>
      <c r="I75" s="5"/>
      <c r="J75" s="5"/>
      <c r="K75" s="46"/>
      <c r="L75" s="5"/>
      <c r="M75" s="5"/>
      <c r="N75" s="5"/>
      <c r="O75" s="46"/>
      <c r="P75" s="5"/>
    </row>
    <row r="76" spans="2:16" x14ac:dyDescent="0.25">
      <c r="B76" s="4"/>
      <c r="C76" s="4"/>
      <c r="D76" s="4"/>
      <c r="E76" s="4"/>
      <c r="F76" s="4"/>
      <c r="G76" s="4"/>
      <c r="H76" s="4"/>
      <c r="I76" s="4"/>
      <c r="J76" s="4"/>
      <c r="K76" s="48"/>
      <c r="L76" s="48"/>
      <c r="M76" s="48"/>
      <c r="N76" s="48"/>
      <c r="O76" s="48"/>
      <c r="P76" s="48"/>
    </row>
    <row r="77" spans="2:16" x14ac:dyDescent="0.25">
      <c r="K77" s="1"/>
      <c r="O77" s="1"/>
      <c r="P77" s="1"/>
    </row>
    <row r="79" spans="2:16" x14ac:dyDescent="0.25">
      <c r="K79" s="1"/>
      <c r="O79" s="1"/>
    </row>
    <row r="80" spans="2:16" x14ac:dyDescent="0.25">
      <c r="K80" s="1"/>
      <c r="L80" s="1"/>
      <c r="M80" s="1"/>
      <c r="N80" s="1"/>
      <c r="P80" s="1"/>
    </row>
  </sheetData>
  <mergeCells count="19">
    <mergeCell ref="B66:P66"/>
    <mergeCell ref="B65:P65"/>
    <mergeCell ref="B67:P67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3:P73"/>
    <mergeCell ref="B68:P68"/>
    <mergeCell ref="B69:P69"/>
    <mergeCell ref="B70:P70"/>
    <mergeCell ref="B72:P72"/>
    <mergeCell ref="B71:P71"/>
  </mergeCells>
  <pageMargins left="0.23622047244094491" right="3.937007874015748E-2" top="0.19685039370078741" bottom="0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2023-03-23T19:32:59Z</cp:lastPrinted>
  <dcterms:created xsi:type="dcterms:W3CDTF">2016-04-28T12:49:34Z</dcterms:created>
  <dcterms:modified xsi:type="dcterms:W3CDTF">2023-04-25T20:19:33Z</dcterms:modified>
</cp:coreProperties>
</file>