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 DE PAGAMENTO 2021\PORTAL DA TRANSPARÊNCIA\MENSAL\2021\04 - ABRIL\"/>
    </mc:Choice>
  </mc:AlternateContent>
  <xr:revisionPtr revIDLastSave="0" documentId="13_ncr:1_{DD9E1AF7-0E80-48A4-967E-0F2EA1C224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</sheets>
  <definedNames>
    <definedName name="_xlnm.Print_Area" localSheetId="0">mes!$A$1:$P$68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5" i="6" l="1"/>
  <c r="K54" i="6"/>
  <c r="N54" i="6" s="1"/>
  <c r="O54" i="6" s="1"/>
  <c r="P54" i="6" s="1"/>
  <c r="C49" i="6"/>
  <c r="M48" i="6"/>
  <c r="F48" i="6"/>
  <c r="C48" i="6"/>
  <c r="L44" i="6"/>
  <c r="F44" i="6"/>
  <c r="H44" i="6"/>
  <c r="C44" i="6"/>
  <c r="C39" i="6"/>
  <c r="C36" i="6"/>
  <c r="C33" i="6"/>
  <c r="M32" i="6"/>
  <c r="F32" i="6"/>
  <c r="H32" i="6"/>
  <c r="C32" i="6"/>
  <c r="C25" i="6"/>
  <c r="C21" i="6"/>
  <c r="L20" i="6"/>
  <c r="H20" i="6"/>
  <c r="G20" i="6"/>
  <c r="F20" i="6"/>
  <c r="C20" i="6"/>
  <c r="C14" i="6"/>
  <c r="K12" i="6"/>
  <c r="N12" i="6" s="1"/>
  <c r="O12" i="6" s="1"/>
  <c r="M9" i="6"/>
  <c r="F9" i="6"/>
  <c r="C9" i="6"/>
  <c r="C59" i="6"/>
  <c r="C52" i="6"/>
  <c r="C46" i="6"/>
  <c r="C43" i="6"/>
  <c r="C35" i="6"/>
  <c r="M33" i="6"/>
  <c r="M26" i="6"/>
  <c r="C18" i="6"/>
  <c r="D13" i="6"/>
  <c r="C13" i="6"/>
  <c r="M59" i="6"/>
  <c r="C42" i="6"/>
  <c r="K42" i="6" s="1"/>
  <c r="M35" i="6"/>
  <c r="M44" i="6"/>
  <c r="M43" i="6"/>
  <c r="M42" i="6"/>
  <c r="M27" i="6"/>
  <c r="P12" i="6" l="1"/>
  <c r="K23" i="6"/>
  <c r="N23" i="6" s="1"/>
  <c r="O23" i="6" s="1"/>
  <c r="P23" i="6" s="1"/>
  <c r="C34" i="6" l="1"/>
  <c r="K52" i="6" l="1"/>
  <c r="K44" i="6"/>
  <c r="K43" i="6"/>
  <c r="K41" i="6"/>
  <c r="K34" i="6"/>
  <c r="K59" i="6"/>
  <c r="K45" i="6"/>
  <c r="K47" i="6"/>
  <c r="K48" i="6"/>
  <c r="K49" i="6"/>
  <c r="K50" i="6"/>
  <c r="K51" i="6"/>
  <c r="K53" i="6"/>
  <c r="K55" i="6"/>
  <c r="K56" i="6"/>
  <c r="K57" i="6"/>
  <c r="K58" i="6"/>
  <c r="K40" i="6"/>
  <c r="K39" i="6"/>
  <c r="K30" i="6"/>
  <c r="K31" i="6"/>
  <c r="K32" i="6"/>
  <c r="K33" i="6"/>
  <c r="K35" i="6"/>
  <c r="K36" i="6"/>
  <c r="K37" i="6"/>
  <c r="K38" i="6"/>
  <c r="K8" i="6"/>
  <c r="K9" i="6"/>
  <c r="K10" i="6"/>
  <c r="K11" i="6"/>
  <c r="K14" i="6"/>
  <c r="K15" i="6"/>
  <c r="K16" i="6"/>
  <c r="K17" i="6"/>
  <c r="K18" i="6"/>
  <c r="K19" i="6"/>
  <c r="K20" i="6"/>
  <c r="K21" i="6"/>
  <c r="K22" i="6"/>
  <c r="K24" i="6"/>
  <c r="K25" i="6"/>
  <c r="K26" i="6"/>
  <c r="K27" i="6"/>
  <c r="K28" i="6"/>
  <c r="K29" i="6"/>
  <c r="K7" i="6"/>
  <c r="K46" i="6" l="1"/>
  <c r="K13" i="6"/>
  <c r="N57" i="6" l="1"/>
  <c r="O57" i="6" s="1"/>
  <c r="P57" i="6" s="1"/>
  <c r="N58" i="6" l="1"/>
  <c r="O58" i="6" s="1"/>
  <c r="P58" i="6" s="1"/>
  <c r="N17" i="6" l="1"/>
  <c r="O17" i="6" s="1"/>
  <c r="P17" i="6" s="1"/>
  <c r="N31" i="6" l="1"/>
  <c r="O31" i="6" s="1"/>
  <c r="P31" i="6" s="1"/>
  <c r="N9" i="6" l="1"/>
  <c r="O9" i="6" s="1"/>
  <c r="P9" i="6" s="1"/>
  <c r="N37" i="6" l="1"/>
  <c r="O37" i="6" s="1"/>
  <c r="P37" i="6" s="1"/>
  <c r="N51" i="6" l="1"/>
  <c r="O51" i="6" s="1"/>
  <c r="P51" i="6" s="1"/>
  <c r="N24" i="6"/>
  <c r="O24" i="6" s="1"/>
  <c r="P24" i="6" s="1"/>
  <c r="N14" i="6" l="1"/>
  <c r="O14" i="6" s="1"/>
  <c r="P14" i="6" s="1"/>
  <c r="N11" i="6" l="1"/>
  <c r="O11" i="6" s="1"/>
  <c r="P11" i="6" s="1"/>
  <c r="N59" i="6"/>
  <c r="O59" i="6" s="1"/>
  <c r="P59" i="6" s="1"/>
  <c r="N53" i="6"/>
  <c r="O53" i="6" s="1"/>
  <c r="N50" i="6"/>
  <c r="O50" i="6" s="1"/>
  <c r="P50" i="6" s="1"/>
  <c r="N49" i="6"/>
  <c r="O49" i="6" s="1"/>
  <c r="P49" i="6" s="1"/>
  <c r="N48" i="6"/>
  <c r="O48" i="6" s="1"/>
  <c r="N47" i="6"/>
  <c r="O47" i="6" s="1"/>
  <c r="N44" i="6"/>
  <c r="O44" i="6" s="1"/>
  <c r="N43" i="6"/>
  <c r="O43" i="6" s="1"/>
  <c r="N42" i="6"/>
  <c r="O42" i="6" s="1"/>
  <c r="P42" i="6" s="1"/>
  <c r="N39" i="6"/>
  <c r="O39" i="6" s="1"/>
  <c r="P39" i="6" s="1"/>
  <c r="N35" i="6"/>
  <c r="O35" i="6" s="1"/>
  <c r="P35" i="6" s="1"/>
  <c r="N34" i="6"/>
  <c r="O34" i="6" s="1"/>
  <c r="P34" i="6" s="1"/>
  <c r="N33" i="6"/>
  <c r="O33" i="6" s="1"/>
  <c r="P33" i="6" s="1"/>
  <c r="N30" i="6"/>
  <c r="O30" i="6" s="1"/>
  <c r="P30" i="6" s="1"/>
  <c r="N29" i="6"/>
  <c r="O29" i="6" s="1"/>
  <c r="P29" i="6" s="1"/>
  <c r="N28" i="6"/>
  <c r="O28" i="6" s="1"/>
  <c r="P28" i="6" s="1"/>
  <c r="N27" i="6"/>
  <c r="O27" i="6" s="1"/>
  <c r="P27" i="6" s="1"/>
  <c r="N25" i="6"/>
  <c r="O25" i="6" s="1"/>
  <c r="P25" i="6" s="1"/>
  <c r="N22" i="6"/>
  <c r="O22" i="6" s="1"/>
  <c r="P22" i="6" s="1"/>
  <c r="N21" i="6"/>
  <c r="O21" i="6" s="1"/>
  <c r="P21" i="6" s="1"/>
  <c r="N20" i="6"/>
  <c r="O20" i="6" s="1"/>
  <c r="P20" i="6" s="1"/>
  <c r="N18" i="6"/>
  <c r="O18" i="6" s="1"/>
  <c r="P18" i="6" s="1"/>
  <c r="N7" i="6"/>
  <c r="O7" i="6" s="1"/>
  <c r="P7" i="6" s="1"/>
  <c r="N41" i="6" l="1"/>
  <c r="O41" i="6" s="1"/>
  <c r="P41" i="6" s="1"/>
  <c r="N8" i="6"/>
  <c r="N56" i="6"/>
  <c r="O56" i="6" s="1"/>
  <c r="P56" i="6" s="1"/>
  <c r="N15" i="6"/>
  <c r="O15" i="6" s="1"/>
  <c r="P15" i="6" s="1"/>
  <c r="N52" i="6"/>
  <c r="O52" i="6" s="1"/>
  <c r="P52" i="6" s="1"/>
  <c r="N45" i="6"/>
  <c r="O45" i="6" s="1"/>
  <c r="P45" i="6" s="1"/>
  <c r="N46" i="6"/>
  <c r="O46" i="6" s="1"/>
  <c r="P46" i="6" s="1"/>
  <c r="N55" i="6"/>
  <c r="O55" i="6" s="1"/>
  <c r="P55" i="6" s="1"/>
  <c r="N10" i="6"/>
  <c r="O10" i="6" s="1"/>
  <c r="P10" i="6" s="1"/>
  <c r="N32" i="6"/>
  <c r="O32" i="6" s="1"/>
  <c r="P32" i="6" s="1"/>
  <c r="N26" i="6"/>
  <c r="O26" i="6" s="1"/>
  <c r="P26" i="6" s="1"/>
  <c r="N36" i="6"/>
  <c r="O36" i="6" s="1"/>
  <c r="P36" i="6" s="1"/>
  <c r="N40" i="6"/>
  <c r="O40" i="6" s="1"/>
  <c r="P40" i="6" s="1"/>
  <c r="N19" i="6"/>
  <c r="O19" i="6" s="1"/>
  <c r="P19" i="6" s="1"/>
  <c r="N16" i="6"/>
  <c r="O16" i="6" s="1"/>
  <c r="P16" i="6" s="1"/>
  <c r="N13" i="6"/>
  <c r="O13" i="6" s="1"/>
  <c r="P13" i="6" s="1"/>
  <c r="P44" i="6"/>
  <c r="P43" i="6"/>
  <c r="P47" i="6"/>
  <c r="N38" i="6"/>
  <c r="O38" i="6" s="1"/>
  <c r="P38" i="6" s="1"/>
  <c r="P48" i="6"/>
  <c r="P53" i="6"/>
  <c r="O8" i="6" l="1"/>
  <c r="P8" i="6" l="1"/>
</calcChain>
</file>

<file path=xl/sharedStrings.xml><?xml version="1.0" encoding="utf-8"?>
<sst xmlns="http://schemas.openxmlformats.org/spreadsheetml/2006/main" count="86" uniqueCount="84">
  <si>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</si>
  <si>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</si>
  <si>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</si>
  <si>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</si>
  <si>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</si>
  <si>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</si>
  <si>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</si>
  <si>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</si>
  <si>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</si>
  <si>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</si>
  <si>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</si>
  <si>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</si>
  <si>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</si>
  <si>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IRAN LUIZ CORDEIRO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</si>
  <si>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</si>
  <si>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</si>
  <si>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</si>
  <si>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</si>
  <si>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</si>
  <si>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</si>
  <si>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</si>
  <si>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</si>
  <si>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</si>
  <si>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</si>
  <si>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</si>
  <si>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</si>
  <si>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</si>
  <si>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</si>
  <si>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</si>
  <si>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</si>
  <si>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</si>
  <si>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</si>
  <si>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</si>
  <si>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</si>
  <si>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</si>
  <si>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</si>
  <si>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</si>
  <si>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</si>
  <si>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</si>
  <si>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</si>
  <si>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</si>
  <si>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</si>
  <si>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</si>
  <si>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</si>
  <si>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</si>
  <si>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</si>
  <si>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</si>
  <si>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</si>
  <si>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</si>
  <si>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</si>
  <si>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</si>
  <si>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</si>
  <si>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</si>
  <si>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</si>
  <si>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</si>
  <si>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</si>
  <si>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</si>
  <si>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</si>
  <si>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</si>
  <si>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</si>
  <si>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</si>
  <si>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</si>
  <si>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</si>
  <si>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VINICIUS DECONTO GUIMARÃES</t>
  </si>
  <si>
    <t xml:space="preserve">OSMAR RODRIGUES DE MELLO   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</si>
  <si>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</si>
  <si>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</si>
  <si>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</si>
  <si>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</si>
  <si>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</si>
  <si>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</si>
  <si>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</si>
  <si>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</si>
  <si>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</si>
  <si>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</si>
  <si>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t>sendo descontado do funcionário o percentual de 0,50% (meio por cento) sobre o valor total dos vales fornecidos no período.</t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</si>
  <si>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</si>
  <si>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A concessão do vale alimentação e/ou vale refeição aos funcionários do CRCPR é realizada por meio de cartão magnético. O benefício é disponibilizado mensalmente no valor de R$ 46,50 (quarenta e um reais) recebidos por 22 dias mensais,</t>
  </si>
  <si>
    <t>GUSTAVO ELIAS MUENZ</t>
  </si>
  <si>
    <t>Indenização</t>
  </si>
  <si>
    <t>PDV</t>
  </si>
  <si>
    <t>ABRIL/2021</t>
  </si>
  <si>
    <t>CARLOS ALBERTO JUNGLES DE CAMARGO</t>
  </si>
  <si>
    <t>SARA EMMANUELLE MARTINS SCARPETTA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</si>
</sst>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8">
    <xf numFmtId="0" fontId="0" fillId="0" borderId="0" xfId="0"/>
    <xf numFmtId="164" fontId="0" fillId="0" borderId="0" xfId="0" applyNumberFormat="1"/>
    <xf numFmtId="164" fontId="0" fillId="0" borderId="3" xfId="0" applyNumberFormat="1" applyFill="1" applyBorder="1"/>
    <xf numFmtId="164" fontId="0" fillId="0" borderId="3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Fill="1" applyBorder="1" applyProtection="1">
      <protection locked="0"/>
    </xf>
    <xf numFmtId="164" fontId="0" fillId="0" borderId="15" xfId="0" applyNumberFormat="1" applyFill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Alignment="1" applyProtection="1">
      <protection locked="0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/>
      <protection locked="0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164" fontId="1" fillId="0" borderId="3" xfId="0" applyNumberFormat="1" applyFont="1" applyFill="1" applyBorder="1" applyProtection="1">
      <protection locked="0"/>
    </xf>
    <xf numFmtId="164" fontId="1" fillId="0" borderId="24" xfId="0" applyNumberFormat="1" applyFont="1" applyFill="1" applyBorder="1" applyProtection="1">
      <protection locked="0"/>
    </xf>
    <xf numFmtId="164" fontId="1" fillId="0" borderId="15" xfId="0" applyNumberFormat="1" applyFont="1" applyFill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49" fontId="8" fillId="2" borderId="8" xfId="0" applyNumberFormat="1" applyFont="1" applyFill="1" applyBorder="1" applyAlignment="1"/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Fill="1" applyBorder="1" applyProtection="1">
      <protection locked="0"/>
    </xf>
    <xf numFmtId="164" fontId="0" fillId="0" borderId="24" xfId="0" applyNumberFormat="1" applyFill="1" applyBorder="1"/>
    <xf numFmtId="164" fontId="1" fillId="2" borderId="27" xfId="0" applyNumberFormat="1" applyFont="1" applyFill="1" applyBorder="1"/>
    <xf numFmtId="0" fontId="0" fillId="4" borderId="13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4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0" fontId="4" fillId="4" borderId="11" xfId="0" applyFont="1" applyFill="1" applyBorder="1" applyAlignment="1" applyProtection="1">
      <alignment horizontal="left"/>
      <protection locked="0"/>
    </xf>
    <xf numFmtId="0" fontId="4" fillId="4" borderId="0" xfId="0" applyFont="1" applyFill="1" applyBorder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Border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0" fillId="4" borderId="11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2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1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H78" sqref="H78"/>
    </sheetView>
  </sheetViews>
  <sheetFormatPr defaultRowHeight="15" outlineLevelCol="1" x14ac:dyDescent="0.25"/>
  <cols>
    <col min="1" max="1" width="3.7109375" customWidth="1"/>
    <col min="2" max="2" width="44.140625" bestFit="1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5" width="10.140625" bestFit="1" customWidth="1"/>
    <col min="16" max="16" width="9.5703125" bestFit="1" customWidth="1"/>
    <col min="17" max="17" width="1.42578125" customWidth="1"/>
    <col min="18" max="18" width="15.85546875" hidden="1" customWidth="1" outlineLevel="1"/>
    <col min="19" max="19" width="9.140625" collapsed="1"/>
  </cols>
  <sheetData>
    <row r="1" spans="1:19" ht="16.5" x14ac:dyDescent="0.25">
      <c r="B1" s="68" t="s">
        <v>51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9" ht="16.5" x14ac:dyDescent="0.25">
      <c r="B2" s="68" t="s">
        <v>52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9" ht="4.5" customHeight="1" thickBot="1" x14ac:dyDescent="0.3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9" ht="19.5" thickBot="1" x14ac:dyDescent="0.35">
      <c r="B4" s="40" t="s">
        <v>81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70" t="s">
        <v>50</v>
      </c>
      <c r="C5" s="72" t="s">
        <v>40</v>
      </c>
      <c r="D5" s="76" t="s">
        <v>66</v>
      </c>
      <c r="E5" s="74" t="s">
        <v>41</v>
      </c>
      <c r="F5" s="74" t="s">
        <v>67</v>
      </c>
      <c r="G5" s="27" t="s">
        <v>68</v>
      </c>
      <c r="H5" s="30" t="s">
        <v>70</v>
      </c>
      <c r="I5" s="8" t="s">
        <v>53</v>
      </c>
      <c r="J5" s="8" t="s">
        <v>79</v>
      </c>
      <c r="K5" s="20" t="s">
        <v>42</v>
      </c>
      <c r="L5" s="74" t="s">
        <v>44</v>
      </c>
      <c r="M5" s="74" t="s">
        <v>45</v>
      </c>
      <c r="N5" s="8" t="s">
        <v>46</v>
      </c>
      <c r="O5" s="8" t="s">
        <v>48</v>
      </c>
      <c r="P5" s="22" t="s">
        <v>42</v>
      </c>
    </row>
    <row r="6" spans="1:19" ht="15.75" thickBot="1" x14ac:dyDescent="0.3">
      <c r="B6" s="71"/>
      <c r="C6" s="73"/>
      <c r="D6" s="77"/>
      <c r="E6" s="75"/>
      <c r="F6" s="75"/>
      <c r="G6" s="29" t="s">
        <v>69</v>
      </c>
      <c r="H6" s="31" t="s">
        <v>55</v>
      </c>
      <c r="I6" s="9" t="s">
        <v>54</v>
      </c>
      <c r="J6" s="9" t="s">
        <v>80</v>
      </c>
      <c r="K6" s="21" t="s">
        <v>43</v>
      </c>
      <c r="L6" s="75"/>
      <c r="M6" s="75"/>
      <c r="N6" s="9" t="s">
        <v>47</v>
      </c>
      <c r="O6" s="9" t="s">
        <v>47</v>
      </c>
      <c r="P6" s="23" t="s">
        <v>49</v>
      </c>
    </row>
    <row r="7" spans="1:19" x14ac:dyDescent="0.25">
      <c r="A7">
        <v>1</v>
      </c>
      <c r="B7" s="16" t="s">
        <v>0</v>
      </c>
      <c r="C7" s="14">
        <v>5359.33</v>
      </c>
      <c r="D7" s="32"/>
      <c r="E7" s="35"/>
      <c r="F7" s="35"/>
      <c r="G7" s="35"/>
      <c r="H7" s="35"/>
      <c r="I7" s="36"/>
      <c r="J7" s="36"/>
      <c r="K7" s="12">
        <f t="shared" ref="K7:K13" si="0">SUM(C7:I7)</f>
        <v>5359.33</v>
      </c>
      <c r="L7" s="3">
        <v>439.02</v>
      </c>
      <c r="M7" s="3">
        <v>601.58000000000004</v>
      </c>
      <c r="N7" s="2">
        <f t="shared" ref="N7:N12" si="1">K7-L7-M7-R7</f>
        <v>41.059999999999491</v>
      </c>
      <c r="O7" s="2">
        <f t="shared" ref="O7:O59" si="2">SUM(L7:N7)</f>
        <v>1081.6599999999994</v>
      </c>
      <c r="P7" s="18">
        <f t="shared" ref="P7:P59" si="3">SUM(K7-O7)</f>
        <v>4277.67</v>
      </c>
      <c r="Q7" s="24"/>
      <c r="R7" s="25">
        <v>4277.67</v>
      </c>
    </row>
    <row r="8" spans="1:19" x14ac:dyDescent="0.25">
      <c r="A8">
        <v>2</v>
      </c>
      <c r="B8" s="16" t="s">
        <v>1</v>
      </c>
      <c r="C8" s="14">
        <v>2482.0100000000002</v>
      </c>
      <c r="D8" s="32"/>
      <c r="E8" s="35"/>
      <c r="F8" s="35"/>
      <c r="G8" s="35"/>
      <c r="H8" s="35"/>
      <c r="I8" s="36"/>
      <c r="J8" s="36"/>
      <c r="K8" s="12">
        <f t="shared" si="0"/>
        <v>2482.0100000000002</v>
      </c>
      <c r="L8" s="3"/>
      <c r="M8" s="3">
        <v>215.23</v>
      </c>
      <c r="N8" s="2">
        <f t="shared" si="1"/>
        <v>1183.5800000000002</v>
      </c>
      <c r="O8" s="2">
        <f t="shared" si="2"/>
        <v>1398.8100000000002</v>
      </c>
      <c r="P8" s="18">
        <f t="shared" si="3"/>
        <v>1083.2</v>
      </c>
      <c r="Q8" s="24"/>
      <c r="R8" s="25">
        <v>1083.2</v>
      </c>
    </row>
    <row r="9" spans="1:19" x14ac:dyDescent="0.25">
      <c r="A9">
        <v>3</v>
      </c>
      <c r="B9" s="16" t="s">
        <v>59</v>
      </c>
      <c r="C9" s="14">
        <f>1521.96+70.66</f>
        <v>1592.6200000000001</v>
      </c>
      <c r="D9" s="32">
        <v>833.33</v>
      </c>
      <c r="E9" s="35">
        <v>60</v>
      </c>
      <c r="F9" s="35">
        <f>166.67+304.39+14.13+161.73</f>
        <v>646.91999999999996</v>
      </c>
      <c r="G9" s="35"/>
      <c r="H9" s="35"/>
      <c r="I9" s="36"/>
      <c r="J9" s="36"/>
      <c r="K9" s="12">
        <f t="shared" si="0"/>
        <v>3132.8700000000003</v>
      </c>
      <c r="L9" s="3">
        <v>25.28</v>
      </c>
      <c r="M9" s="3">
        <f>244.82+48.51</f>
        <v>293.33</v>
      </c>
      <c r="N9" s="2">
        <f t="shared" si="1"/>
        <v>695.20000000000027</v>
      </c>
      <c r="O9" s="2">
        <f t="shared" si="2"/>
        <v>1013.8100000000003</v>
      </c>
      <c r="P9" s="18">
        <f t="shared" si="3"/>
        <v>2119.06</v>
      </c>
      <c r="Q9" s="24"/>
      <c r="R9" s="25">
        <v>2119.06</v>
      </c>
    </row>
    <row r="10" spans="1:19" x14ac:dyDescent="0.25">
      <c r="A10">
        <v>4</v>
      </c>
      <c r="B10" s="16" t="s">
        <v>2</v>
      </c>
      <c r="C10" s="14">
        <v>2664.07</v>
      </c>
      <c r="D10" s="32"/>
      <c r="E10" s="35"/>
      <c r="F10" s="35"/>
      <c r="G10" s="35"/>
      <c r="H10" s="35"/>
      <c r="I10" s="36"/>
      <c r="J10" s="36"/>
      <c r="K10" s="12">
        <f t="shared" si="0"/>
        <v>2664.07</v>
      </c>
      <c r="L10" s="3">
        <v>25</v>
      </c>
      <c r="M10" s="3">
        <v>237.08</v>
      </c>
      <c r="N10" s="2">
        <f t="shared" si="1"/>
        <v>996.19000000000028</v>
      </c>
      <c r="O10" s="2">
        <f t="shared" si="2"/>
        <v>1258.2700000000004</v>
      </c>
      <c r="P10" s="18">
        <f>SUM(K10-O10)+H10</f>
        <v>1405.7999999999997</v>
      </c>
      <c r="Q10" s="24"/>
      <c r="R10" s="25">
        <v>1405.8</v>
      </c>
      <c r="S10" s="1"/>
    </row>
    <row r="11" spans="1:19" x14ac:dyDescent="0.25">
      <c r="A11">
        <v>5</v>
      </c>
      <c r="B11" s="16" t="s">
        <v>3</v>
      </c>
      <c r="C11" s="14">
        <v>3617.77</v>
      </c>
      <c r="D11" s="32"/>
      <c r="E11" s="35"/>
      <c r="F11" s="35"/>
      <c r="G11" s="35"/>
      <c r="H11" s="35"/>
      <c r="I11" s="36"/>
      <c r="J11" s="36"/>
      <c r="K11" s="12">
        <f t="shared" si="0"/>
        <v>3617.77</v>
      </c>
      <c r="L11" s="3">
        <v>105.76</v>
      </c>
      <c r="M11" s="3">
        <v>357.76</v>
      </c>
      <c r="N11" s="2">
        <f t="shared" si="1"/>
        <v>1014.1599999999999</v>
      </c>
      <c r="O11" s="2">
        <f t="shared" si="2"/>
        <v>1477.6799999999998</v>
      </c>
      <c r="P11" s="18">
        <f t="shared" si="3"/>
        <v>2140.09</v>
      </c>
      <c r="Q11" s="24"/>
      <c r="R11" s="25">
        <v>2140.09</v>
      </c>
    </row>
    <row r="12" spans="1:19" x14ac:dyDescent="0.25">
      <c r="A12">
        <v>6</v>
      </c>
      <c r="B12" s="16" t="s">
        <v>82</v>
      </c>
      <c r="C12" s="14">
        <v>3460.93</v>
      </c>
      <c r="D12" s="32">
        <v>692.19</v>
      </c>
      <c r="E12" s="35"/>
      <c r="F12" s="35"/>
      <c r="G12" s="35"/>
      <c r="H12" s="35"/>
      <c r="I12" s="36"/>
      <c r="J12" s="36"/>
      <c r="K12" s="12">
        <f t="shared" si="0"/>
        <v>4153.12</v>
      </c>
      <c r="L12" s="3">
        <v>203.26</v>
      </c>
      <c r="M12" s="3">
        <v>432.71</v>
      </c>
      <c r="N12" s="2">
        <f t="shared" si="1"/>
        <v>5.419999999999618</v>
      </c>
      <c r="O12" s="2">
        <f t="shared" si="2"/>
        <v>641.38999999999965</v>
      </c>
      <c r="P12" s="18">
        <f t="shared" si="3"/>
        <v>3511.7300000000005</v>
      </c>
      <c r="Q12" s="24"/>
      <c r="R12" s="25">
        <v>3511.73</v>
      </c>
    </row>
    <row r="13" spans="1:19" x14ac:dyDescent="0.25">
      <c r="A13">
        <v>7</v>
      </c>
      <c r="B13" s="16" t="s">
        <v>4</v>
      </c>
      <c r="C13" s="14">
        <f>11980.55+6110.08</f>
        <v>18090.629999999997</v>
      </c>
      <c r="D13" s="32">
        <f>1198.06+4792.22</f>
        <v>5990.2800000000007</v>
      </c>
      <c r="E13" s="35">
        <v>60</v>
      </c>
      <c r="F13" s="35"/>
      <c r="G13" s="35"/>
      <c r="H13" s="35"/>
      <c r="I13" s="36"/>
      <c r="J13" s="36"/>
      <c r="K13" s="12">
        <f t="shared" si="0"/>
        <v>24140.909999999996</v>
      </c>
      <c r="L13" s="3">
        <v>5562.6</v>
      </c>
      <c r="M13" s="3">
        <v>751.97</v>
      </c>
      <c r="N13" s="2">
        <f>K13-L13-M13-R13</f>
        <v>104.94999999999709</v>
      </c>
      <c r="O13" s="2">
        <f t="shared" si="2"/>
        <v>6419.5199999999977</v>
      </c>
      <c r="P13" s="18">
        <f t="shared" si="3"/>
        <v>17721.39</v>
      </c>
      <c r="Q13" s="24"/>
      <c r="R13" s="25">
        <v>17721.39</v>
      </c>
    </row>
    <row r="14" spans="1:19" x14ac:dyDescent="0.25">
      <c r="A14">
        <v>8</v>
      </c>
      <c r="B14" s="16" t="s">
        <v>5</v>
      </c>
      <c r="C14" s="14">
        <f>11980.55+3690.01</f>
        <v>15670.56</v>
      </c>
      <c r="D14" s="32">
        <v>4792.22</v>
      </c>
      <c r="E14" s="35"/>
      <c r="F14" s="35"/>
      <c r="G14" s="35"/>
      <c r="H14" s="35"/>
      <c r="I14" s="36"/>
      <c r="J14" s="36"/>
      <c r="K14" s="12">
        <f t="shared" ref="K14:K30" si="4">SUM(C14:I14)</f>
        <v>20462.78</v>
      </c>
      <c r="L14" s="3">
        <v>4551.1099999999997</v>
      </c>
      <c r="M14" s="3">
        <v>751.97</v>
      </c>
      <c r="N14" s="2">
        <f t="shared" ref="N14:N39" si="5">K14-L14-M14-R14</f>
        <v>107.19999999999891</v>
      </c>
      <c r="O14" s="2">
        <f t="shared" si="2"/>
        <v>5410.2799999999988</v>
      </c>
      <c r="P14" s="18">
        <f t="shared" si="3"/>
        <v>15052.5</v>
      </c>
      <c r="Q14" s="24"/>
      <c r="R14" s="25">
        <v>15052.5</v>
      </c>
    </row>
    <row r="15" spans="1:19" x14ac:dyDescent="0.25">
      <c r="A15">
        <v>9</v>
      </c>
      <c r="B15" s="16" t="s">
        <v>6</v>
      </c>
      <c r="C15" s="14">
        <v>2456.08</v>
      </c>
      <c r="D15" s="32"/>
      <c r="E15" s="35"/>
      <c r="F15" s="35"/>
      <c r="G15" s="35"/>
      <c r="H15" s="35"/>
      <c r="I15" s="36"/>
      <c r="J15" s="36"/>
      <c r="K15" s="12">
        <f t="shared" si="4"/>
        <v>2456.08</v>
      </c>
      <c r="L15" s="3">
        <v>25.5</v>
      </c>
      <c r="M15" s="3">
        <v>212.12</v>
      </c>
      <c r="N15" s="2">
        <f t="shared" si="5"/>
        <v>17.490000000000236</v>
      </c>
      <c r="O15" s="2">
        <f t="shared" si="2"/>
        <v>255.11000000000024</v>
      </c>
      <c r="P15" s="18">
        <f t="shared" si="3"/>
        <v>2200.9699999999998</v>
      </c>
      <c r="Q15" s="24"/>
      <c r="R15" s="25">
        <v>2200.9699999999998</v>
      </c>
    </row>
    <row r="16" spans="1:19" x14ac:dyDescent="0.25">
      <c r="A16">
        <v>10</v>
      </c>
      <c r="B16" s="16" t="s">
        <v>7</v>
      </c>
      <c r="C16" s="14">
        <v>2244.59</v>
      </c>
      <c r="D16" s="32"/>
      <c r="E16" s="35"/>
      <c r="F16" s="35"/>
      <c r="G16" s="35"/>
      <c r="H16" s="35"/>
      <c r="I16" s="36"/>
      <c r="J16" s="36"/>
      <c r="K16" s="12">
        <f t="shared" si="4"/>
        <v>2244.59</v>
      </c>
      <c r="L16" s="3">
        <v>11.54</v>
      </c>
      <c r="M16" s="3">
        <v>186.74</v>
      </c>
      <c r="N16" s="2">
        <f t="shared" si="5"/>
        <v>121.92000000000007</v>
      </c>
      <c r="O16" s="2">
        <f t="shared" si="2"/>
        <v>320.20000000000005</v>
      </c>
      <c r="P16" s="18">
        <f t="shared" si="3"/>
        <v>1924.39</v>
      </c>
      <c r="Q16" s="24"/>
      <c r="R16" s="25">
        <v>1924.39</v>
      </c>
    </row>
    <row r="17" spans="1:18" x14ac:dyDescent="0.25">
      <c r="A17">
        <v>11</v>
      </c>
      <c r="B17" s="16" t="s">
        <v>62</v>
      </c>
      <c r="C17" s="14">
        <v>2722.96</v>
      </c>
      <c r="D17" s="32"/>
      <c r="E17" s="35"/>
      <c r="F17" s="35"/>
      <c r="G17" s="35"/>
      <c r="H17" s="35"/>
      <c r="I17" s="36"/>
      <c r="J17" s="36"/>
      <c r="K17" s="12">
        <f t="shared" si="4"/>
        <v>2722.96</v>
      </c>
      <c r="L17" s="3">
        <v>28.89</v>
      </c>
      <c r="M17" s="3">
        <v>244.14</v>
      </c>
      <c r="N17" s="2">
        <f t="shared" si="5"/>
        <v>251.00000000000045</v>
      </c>
      <c r="O17" s="2">
        <f t="shared" si="2"/>
        <v>524.03000000000043</v>
      </c>
      <c r="P17" s="18">
        <f t="shared" si="3"/>
        <v>2198.9299999999994</v>
      </c>
      <c r="Q17" s="24"/>
      <c r="R17" s="25">
        <v>2198.9299999999998</v>
      </c>
    </row>
    <row r="18" spans="1:18" x14ac:dyDescent="0.25">
      <c r="A18">
        <v>12</v>
      </c>
      <c r="B18" s="16" t="s">
        <v>8</v>
      </c>
      <c r="C18" s="14">
        <f>5026.06+985.11</f>
        <v>6011.17</v>
      </c>
      <c r="D18" s="32">
        <v>2010.42</v>
      </c>
      <c r="E18" s="35"/>
      <c r="F18" s="35"/>
      <c r="G18" s="35"/>
      <c r="H18" s="35"/>
      <c r="I18" s="36"/>
      <c r="J18" s="36"/>
      <c r="K18" s="12">
        <f t="shared" si="4"/>
        <v>8021.59</v>
      </c>
      <c r="L18" s="3">
        <v>973.37</v>
      </c>
      <c r="M18" s="3">
        <v>751.97</v>
      </c>
      <c r="N18" s="2">
        <f t="shared" si="5"/>
        <v>513.89999999999964</v>
      </c>
      <c r="O18" s="2">
        <f t="shared" si="2"/>
        <v>2239.2399999999998</v>
      </c>
      <c r="P18" s="18">
        <f t="shared" si="3"/>
        <v>5782.35</v>
      </c>
      <c r="Q18" s="24"/>
      <c r="R18" s="25">
        <v>5782.35</v>
      </c>
    </row>
    <row r="19" spans="1:18" x14ac:dyDescent="0.25">
      <c r="A19">
        <v>13</v>
      </c>
      <c r="B19" s="16" t="s">
        <v>9</v>
      </c>
      <c r="C19" s="14">
        <v>2478.8200000000002</v>
      </c>
      <c r="D19" s="32"/>
      <c r="E19" s="35"/>
      <c r="F19" s="35"/>
      <c r="G19" s="35"/>
      <c r="H19" s="35"/>
      <c r="I19" s="36"/>
      <c r="J19" s="36"/>
      <c r="K19" s="12">
        <f t="shared" si="4"/>
        <v>2478.8200000000002</v>
      </c>
      <c r="L19" s="3">
        <v>27</v>
      </c>
      <c r="M19" s="3">
        <v>214.85</v>
      </c>
      <c r="N19" s="2">
        <f t="shared" si="5"/>
        <v>6.1200000000003456</v>
      </c>
      <c r="O19" s="2">
        <f t="shared" si="2"/>
        <v>247.97000000000034</v>
      </c>
      <c r="P19" s="18">
        <f t="shared" si="3"/>
        <v>2230.85</v>
      </c>
      <c r="Q19" s="24"/>
      <c r="R19" s="25">
        <v>2230.85</v>
      </c>
    </row>
    <row r="20" spans="1:18" x14ac:dyDescent="0.25">
      <c r="A20">
        <v>14</v>
      </c>
      <c r="B20" s="16" t="s">
        <v>10</v>
      </c>
      <c r="C20" s="14">
        <f>7046.41+3974.17</f>
        <v>11020.58</v>
      </c>
      <c r="D20" s="32">
        <v>9512.65</v>
      </c>
      <c r="E20" s="35"/>
      <c r="F20" s="35">
        <f>8323.57+6165.61+3477.4+5988.85</f>
        <v>23955.43</v>
      </c>
      <c r="G20" s="35">
        <f>1761.6+993.54+1711.1+2378.16</f>
        <v>6844.4</v>
      </c>
      <c r="H20" s="35">
        <f>6606.01+3725.79+8918.11</f>
        <v>19249.91</v>
      </c>
      <c r="I20" s="36"/>
      <c r="J20" s="36"/>
      <c r="K20" s="12">
        <f t="shared" si="4"/>
        <v>70582.97</v>
      </c>
      <c r="L20" s="3">
        <f>4777.28+5511.59</f>
        <v>10288.869999999999</v>
      </c>
      <c r="M20" s="3">
        <v>751.97</v>
      </c>
      <c r="N20" s="2">
        <f t="shared" si="5"/>
        <v>44071.48</v>
      </c>
      <c r="O20" s="2">
        <f t="shared" si="2"/>
        <v>55112.32</v>
      </c>
      <c r="P20" s="18">
        <f t="shared" si="3"/>
        <v>15470.650000000001</v>
      </c>
      <c r="Q20" s="24"/>
      <c r="R20" s="25">
        <v>15470.65</v>
      </c>
    </row>
    <row r="21" spans="1:18" x14ac:dyDescent="0.25">
      <c r="A21">
        <v>15</v>
      </c>
      <c r="B21" s="16" t="s">
        <v>11</v>
      </c>
      <c r="C21" s="14">
        <f>11980.55+3881.7</f>
        <v>15862.25</v>
      </c>
      <c r="D21" s="32">
        <v>2396.11</v>
      </c>
      <c r="E21" s="35"/>
      <c r="F21" s="35"/>
      <c r="G21" s="35"/>
      <c r="H21" s="35"/>
      <c r="I21" s="36"/>
      <c r="J21" s="36"/>
      <c r="K21" s="12">
        <f t="shared" si="4"/>
        <v>18258.36</v>
      </c>
      <c r="L21" s="3">
        <v>3892.76</v>
      </c>
      <c r="M21" s="3">
        <v>751.97</v>
      </c>
      <c r="N21" s="2">
        <f t="shared" si="5"/>
        <v>1671.3600000000006</v>
      </c>
      <c r="O21" s="2">
        <f t="shared" si="2"/>
        <v>6316.0900000000011</v>
      </c>
      <c r="P21" s="18">
        <f t="shared" si="3"/>
        <v>11942.27</v>
      </c>
      <c r="Q21" s="24"/>
      <c r="R21" s="25">
        <v>11942.27</v>
      </c>
    </row>
    <row r="22" spans="1:18" x14ac:dyDescent="0.25">
      <c r="A22">
        <v>16</v>
      </c>
      <c r="B22" s="16" t="s">
        <v>12</v>
      </c>
      <c r="C22" s="14">
        <v>6416.48</v>
      </c>
      <c r="D22" s="32"/>
      <c r="E22" s="35"/>
      <c r="F22" s="35"/>
      <c r="G22" s="35"/>
      <c r="H22" s="35"/>
      <c r="I22" s="36"/>
      <c r="J22" s="36"/>
      <c r="K22" s="12">
        <f t="shared" si="4"/>
        <v>6416.48</v>
      </c>
      <c r="L22" s="3">
        <v>584.76</v>
      </c>
      <c r="M22" s="3">
        <v>749.58</v>
      </c>
      <c r="N22" s="2">
        <f t="shared" si="5"/>
        <v>1321.1599999999994</v>
      </c>
      <c r="O22" s="2">
        <f t="shared" si="2"/>
        <v>2655.4999999999995</v>
      </c>
      <c r="P22" s="18">
        <f t="shared" si="3"/>
        <v>3760.98</v>
      </c>
      <c r="Q22" s="24"/>
      <c r="R22" s="25">
        <v>3760.98</v>
      </c>
    </row>
    <row r="23" spans="1:18" x14ac:dyDescent="0.25">
      <c r="A23">
        <v>17</v>
      </c>
      <c r="B23" s="16" t="s">
        <v>78</v>
      </c>
      <c r="C23" s="14">
        <v>1755.42</v>
      </c>
      <c r="D23" s="32"/>
      <c r="E23" s="35"/>
      <c r="F23" s="35"/>
      <c r="G23" s="35"/>
      <c r="H23" s="35"/>
      <c r="I23" s="36"/>
      <c r="J23" s="36"/>
      <c r="K23" s="12">
        <f t="shared" si="4"/>
        <v>1755.42</v>
      </c>
      <c r="L23" s="3"/>
      <c r="M23" s="3">
        <v>141.47999999999999</v>
      </c>
      <c r="N23" s="2">
        <f t="shared" ref="N23" si="6">K23-L23-M23-R23</f>
        <v>6.1200000000001182</v>
      </c>
      <c r="O23" s="2">
        <f t="shared" ref="O23" si="7">SUM(L23:N23)</f>
        <v>147.60000000000011</v>
      </c>
      <c r="P23" s="18">
        <f t="shared" ref="P23" si="8">SUM(K23-O23)</f>
        <v>1607.82</v>
      </c>
      <c r="Q23" s="24"/>
      <c r="R23" s="25">
        <v>1607.82</v>
      </c>
    </row>
    <row r="24" spans="1:18" x14ac:dyDescent="0.25">
      <c r="A24">
        <v>18</v>
      </c>
      <c r="B24" s="16" t="s">
        <v>56</v>
      </c>
      <c r="C24" s="14">
        <v>2860.75</v>
      </c>
      <c r="D24" s="32"/>
      <c r="E24" s="35">
        <v>60</v>
      </c>
      <c r="F24" s="35"/>
      <c r="G24" s="35"/>
      <c r="H24" s="35"/>
      <c r="I24" s="36"/>
      <c r="J24" s="36"/>
      <c r="K24" s="12">
        <f t="shared" si="4"/>
        <v>2920.75</v>
      </c>
      <c r="L24" s="3">
        <v>56.17</v>
      </c>
      <c r="M24" s="3">
        <v>267.88</v>
      </c>
      <c r="N24" s="2">
        <f t="shared" si="5"/>
        <v>104.73999999999978</v>
      </c>
      <c r="O24" s="2">
        <f t="shared" si="2"/>
        <v>428.78999999999979</v>
      </c>
      <c r="P24" s="18">
        <f t="shared" si="3"/>
        <v>2491.96</v>
      </c>
      <c r="Q24" s="24"/>
      <c r="R24" s="25">
        <v>2491.96</v>
      </c>
    </row>
    <row r="25" spans="1:18" x14ac:dyDescent="0.25">
      <c r="A25">
        <v>19</v>
      </c>
      <c r="B25" s="16" t="s">
        <v>13</v>
      </c>
      <c r="C25" s="14">
        <f>11980.55+3881.7</f>
        <v>15862.25</v>
      </c>
      <c r="D25" s="32">
        <v>2396.11</v>
      </c>
      <c r="E25" s="35"/>
      <c r="F25" s="35"/>
      <c r="G25" s="35"/>
      <c r="H25" s="35"/>
      <c r="I25" s="36"/>
      <c r="J25" s="36"/>
      <c r="K25" s="12">
        <f t="shared" si="4"/>
        <v>18258.36</v>
      </c>
      <c r="L25" s="3">
        <v>3892.76</v>
      </c>
      <c r="M25" s="3">
        <v>751.97</v>
      </c>
      <c r="N25" s="2">
        <f t="shared" si="5"/>
        <v>4356.6700000000019</v>
      </c>
      <c r="O25" s="2">
        <f t="shared" si="2"/>
        <v>9001.4000000000015</v>
      </c>
      <c r="P25" s="18">
        <f t="shared" si="3"/>
        <v>9256.9599999999991</v>
      </c>
      <c r="Q25" s="24"/>
      <c r="R25" s="25">
        <v>9256.9599999999991</v>
      </c>
    </row>
    <row r="26" spans="1:18" x14ac:dyDescent="0.25">
      <c r="A26">
        <v>20</v>
      </c>
      <c r="B26" s="16" t="s">
        <v>14</v>
      </c>
      <c r="C26" s="14">
        <v>6781.65</v>
      </c>
      <c r="D26" s="32"/>
      <c r="E26" s="35"/>
      <c r="F26" s="35"/>
      <c r="G26" s="35"/>
      <c r="H26" s="35"/>
      <c r="I26" s="36"/>
      <c r="J26" s="36"/>
      <c r="K26" s="12">
        <f t="shared" si="4"/>
        <v>6781.65</v>
      </c>
      <c r="L26" s="3">
        <v>684.53</v>
      </c>
      <c r="M26" s="3">
        <f>655.12+96.85</f>
        <v>751.97</v>
      </c>
      <c r="N26" s="2">
        <f t="shared" si="5"/>
        <v>6.1199999999998909</v>
      </c>
      <c r="O26" s="2">
        <f t="shared" si="2"/>
        <v>1442.62</v>
      </c>
      <c r="P26" s="18">
        <f>SUM(K26-O26)+H26</f>
        <v>5339.03</v>
      </c>
      <c r="Q26" s="24"/>
      <c r="R26" s="25">
        <v>5339.03</v>
      </c>
    </row>
    <row r="27" spans="1:18" x14ac:dyDescent="0.25">
      <c r="A27">
        <v>21</v>
      </c>
      <c r="B27" s="16" t="s">
        <v>15</v>
      </c>
      <c r="C27" s="14">
        <v>7496.45</v>
      </c>
      <c r="D27" s="32"/>
      <c r="E27" s="35"/>
      <c r="F27" s="35"/>
      <c r="G27" s="35"/>
      <c r="H27" s="35"/>
      <c r="I27" s="36"/>
      <c r="J27" s="36"/>
      <c r="K27" s="12">
        <f t="shared" si="4"/>
        <v>7496.45</v>
      </c>
      <c r="L27" s="3">
        <v>985.37</v>
      </c>
      <c r="M27" s="3">
        <f>384.75+367.22</f>
        <v>751.97</v>
      </c>
      <c r="N27" s="2">
        <f t="shared" si="5"/>
        <v>6.1199999999998909</v>
      </c>
      <c r="O27" s="2">
        <f t="shared" si="2"/>
        <v>1743.46</v>
      </c>
      <c r="P27" s="18">
        <f t="shared" si="3"/>
        <v>5752.99</v>
      </c>
      <c r="Q27" s="24"/>
      <c r="R27" s="25">
        <v>5752.99</v>
      </c>
    </row>
    <row r="28" spans="1:18" x14ac:dyDescent="0.25">
      <c r="A28">
        <v>22</v>
      </c>
      <c r="B28" s="16" t="s">
        <v>16</v>
      </c>
      <c r="C28" s="14">
        <v>2384.4</v>
      </c>
      <c r="D28" s="32"/>
      <c r="E28" s="35"/>
      <c r="F28" s="35"/>
      <c r="G28" s="35"/>
      <c r="H28" s="35"/>
      <c r="I28" s="36"/>
      <c r="J28" s="36"/>
      <c r="K28" s="12">
        <f t="shared" si="4"/>
        <v>2384.4</v>
      </c>
      <c r="L28" s="3">
        <v>20.77</v>
      </c>
      <c r="M28" s="3">
        <v>203.52</v>
      </c>
      <c r="N28" s="2">
        <f t="shared" si="5"/>
        <v>185.37000000000012</v>
      </c>
      <c r="O28" s="2">
        <f t="shared" si="2"/>
        <v>409.66000000000014</v>
      </c>
      <c r="P28" s="18">
        <f t="shared" si="3"/>
        <v>1974.74</v>
      </c>
      <c r="Q28" s="24"/>
      <c r="R28" s="25">
        <v>1974.74</v>
      </c>
    </row>
    <row r="29" spans="1:18" x14ac:dyDescent="0.25">
      <c r="A29">
        <v>23</v>
      </c>
      <c r="B29" s="16" t="s">
        <v>17</v>
      </c>
      <c r="C29" s="14">
        <v>5406.45</v>
      </c>
      <c r="D29" s="32">
        <v>1000</v>
      </c>
      <c r="E29" s="35"/>
      <c r="F29" s="35"/>
      <c r="G29" s="35"/>
      <c r="H29" s="35"/>
      <c r="I29" s="36"/>
      <c r="J29" s="36"/>
      <c r="K29" s="12">
        <f t="shared" si="4"/>
        <v>6406.45</v>
      </c>
      <c r="L29" s="3">
        <v>582.39</v>
      </c>
      <c r="M29" s="3">
        <v>748.18</v>
      </c>
      <c r="N29" s="2">
        <f t="shared" si="5"/>
        <v>667.89999999999964</v>
      </c>
      <c r="O29" s="2">
        <f t="shared" si="2"/>
        <v>1998.4699999999996</v>
      </c>
      <c r="P29" s="18">
        <f t="shared" si="3"/>
        <v>4407.9800000000005</v>
      </c>
      <c r="Q29" s="24"/>
      <c r="R29" s="25">
        <v>4407.9799999999996</v>
      </c>
    </row>
    <row r="30" spans="1:18" x14ac:dyDescent="0.25">
      <c r="A30">
        <v>24</v>
      </c>
      <c r="B30" s="16" t="s">
        <v>18</v>
      </c>
      <c r="C30" s="14">
        <v>6219.96</v>
      </c>
      <c r="D30" s="32"/>
      <c r="E30" s="35"/>
      <c r="F30" s="35"/>
      <c r="G30" s="35"/>
      <c r="H30" s="35"/>
      <c r="I30" s="36"/>
      <c r="J30" s="36"/>
      <c r="K30" s="12">
        <f t="shared" si="4"/>
        <v>6219.96</v>
      </c>
      <c r="L30" s="3">
        <v>642.55999999999995</v>
      </c>
      <c r="M30" s="3">
        <v>722.07</v>
      </c>
      <c r="N30" s="2">
        <f t="shared" si="5"/>
        <v>237.02999999999975</v>
      </c>
      <c r="O30" s="2">
        <f t="shared" si="2"/>
        <v>1601.6599999999999</v>
      </c>
      <c r="P30" s="18">
        <f t="shared" si="3"/>
        <v>4618.3</v>
      </c>
      <c r="Q30" s="24"/>
      <c r="R30" s="25">
        <v>4618.3</v>
      </c>
    </row>
    <row r="31" spans="1:18" x14ac:dyDescent="0.25">
      <c r="A31">
        <v>25</v>
      </c>
      <c r="B31" s="16" t="s">
        <v>60</v>
      </c>
      <c r="C31" s="14">
        <v>4530.08</v>
      </c>
      <c r="D31" s="32"/>
      <c r="E31" s="35"/>
      <c r="F31" s="35"/>
      <c r="G31" s="35"/>
      <c r="H31" s="35"/>
      <c r="I31" s="36"/>
      <c r="J31" s="36"/>
      <c r="K31" s="12">
        <f>SUM(C31:I31)</f>
        <v>4530.08</v>
      </c>
      <c r="L31" s="3">
        <v>273.89999999999998</v>
      </c>
      <c r="M31" s="3">
        <v>485.49</v>
      </c>
      <c r="N31" s="2">
        <f t="shared" ref="N31" si="9">K31-L31-M31-R31</f>
        <v>41.0600000000004</v>
      </c>
      <c r="O31" s="2">
        <f t="shared" ref="O31" si="10">SUM(L31:N31)</f>
        <v>800.45000000000039</v>
      </c>
      <c r="P31" s="18">
        <f>SUM(K31-O31)+H31</f>
        <v>3729.6299999999997</v>
      </c>
      <c r="Q31" s="24"/>
      <c r="R31" s="25">
        <v>3729.63</v>
      </c>
    </row>
    <row r="32" spans="1:18" x14ac:dyDescent="0.25">
      <c r="A32">
        <v>26</v>
      </c>
      <c r="B32" s="16" t="s">
        <v>19</v>
      </c>
      <c r="C32" s="14">
        <f>1432.69+300.87</f>
        <v>1733.56</v>
      </c>
      <c r="D32" s="32"/>
      <c r="E32" s="35"/>
      <c r="F32" s="35">
        <f>286.54+60.17+115.57</f>
        <v>462.28000000000003</v>
      </c>
      <c r="G32" s="35"/>
      <c r="H32" s="35">
        <f>859.62+180.52</f>
        <v>1040.1400000000001</v>
      </c>
      <c r="I32" s="36"/>
      <c r="J32" s="36"/>
      <c r="K32" s="12">
        <f>SUM(C32:I32)</f>
        <v>3235.9800000000005</v>
      </c>
      <c r="L32" s="3"/>
      <c r="M32" s="3">
        <f>146.45+34.67</f>
        <v>181.12</v>
      </c>
      <c r="N32" s="2">
        <f t="shared" si="5"/>
        <v>1577.0200000000007</v>
      </c>
      <c r="O32" s="2">
        <f t="shared" si="2"/>
        <v>1758.1400000000008</v>
      </c>
      <c r="P32" s="18">
        <f>SUM(K32-O32)+H32</f>
        <v>2517.9799999999996</v>
      </c>
      <c r="Q32" s="24"/>
      <c r="R32" s="25">
        <v>1477.84</v>
      </c>
    </row>
    <row r="33" spans="1:18" x14ac:dyDescent="0.25">
      <c r="A33">
        <v>27</v>
      </c>
      <c r="B33" s="16" t="s">
        <v>20</v>
      </c>
      <c r="C33" s="14">
        <f>5021.09+723.04</f>
        <v>5744.13</v>
      </c>
      <c r="D33" s="32">
        <v>1004.22</v>
      </c>
      <c r="E33" s="35"/>
      <c r="F33" s="35"/>
      <c r="G33" s="35"/>
      <c r="H33" s="35"/>
      <c r="I33" s="36"/>
      <c r="J33" s="36"/>
      <c r="K33" s="12">
        <f>SUM(C33:I33)</f>
        <v>6748.35</v>
      </c>
      <c r="L33" s="3">
        <v>779.64</v>
      </c>
      <c r="M33" s="3">
        <f>312.84+439.13</f>
        <v>751.97</v>
      </c>
      <c r="N33" s="2">
        <f t="shared" si="5"/>
        <v>66.059999999999491</v>
      </c>
      <c r="O33" s="2">
        <f t="shared" si="2"/>
        <v>1597.6699999999996</v>
      </c>
      <c r="P33" s="18">
        <f t="shared" si="3"/>
        <v>5150.68</v>
      </c>
      <c r="Q33" s="24"/>
      <c r="R33" s="25">
        <v>5150.68</v>
      </c>
    </row>
    <row r="34" spans="1:18" x14ac:dyDescent="0.25">
      <c r="A34">
        <v>28</v>
      </c>
      <c r="B34" s="16" t="s">
        <v>21</v>
      </c>
      <c r="C34" s="14">
        <f>11980.55+3450.4</f>
        <v>15430.949999999999</v>
      </c>
      <c r="D34" s="32">
        <v>2396.11</v>
      </c>
      <c r="E34" s="35"/>
      <c r="F34" s="35"/>
      <c r="G34" s="35"/>
      <c r="H34" s="35"/>
      <c r="I34" s="36"/>
      <c r="J34" s="36"/>
      <c r="K34" s="12">
        <f t="shared" ref="K34:K39" si="11">SUM(C34:I34)</f>
        <v>17827.059999999998</v>
      </c>
      <c r="L34" s="3">
        <v>3774.15</v>
      </c>
      <c r="M34" s="3">
        <v>751.97</v>
      </c>
      <c r="N34" s="2">
        <f t="shared" si="5"/>
        <v>6.1199999999989814</v>
      </c>
      <c r="O34" s="2">
        <f t="shared" si="2"/>
        <v>4532.2399999999989</v>
      </c>
      <c r="P34" s="18">
        <f t="shared" si="3"/>
        <v>13294.82</v>
      </c>
      <c r="Q34" s="24"/>
      <c r="R34" s="25">
        <v>13294.82</v>
      </c>
    </row>
    <row r="35" spans="1:18" x14ac:dyDescent="0.25">
      <c r="A35">
        <v>29</v>
      </c>
      <c r="B35" s="16" t="s">
        <v>61</v>
      </c>
      <c r="C35" s="14">
        <f>4927.52+650.43</f>
        <v>5577.9500000000007</v>
      </c>
      <c r="D35" s="32">
        <v>985.5</v>
      </c>
      <c r="E35" s="35"/>
      <c r="F35" s="35"/>
      <c r="G35" s="35"/>
      <c r="H35" s="35"/>
      <c r="I35" s="36"/>
      <c r="J35" s="36"/>
      <c r="K35" s="12">
        <f t="shared" si="11"/>
        <v>6563.4500000000007</v>
      </c>
      <c r="L35" s="3">
        <v>728.8</v>
      </c>
      <c r="M35" s="3">
        <f>584.7+167.27</f>
        <v>751.97</v>
      </c>
      <c r="N35" s="2">
        <f t="shared" si="5"/>
        <v>197.51000000000022</v>
      </c>
      <c r="O35" s="2">
        <f t="shared" si="2"/>
        <v>1678.2800000000002</v>
      </c>
      <c r="P35" s="18">
        <f t="shared" si="3"/>
        <v>4885.17</v>
      </c>
      <c r="Q35" s="24"/>
      <c r="R35" s="25">
        <v>4885.17</v>
      </c>
    </row>
    <row r="36" spans="1:18" x14ac:dyDescent="0.25">
      <c r="A36">
        <v>30</v>
      </c>
      <c r="B36" s="16" t="s">
        <v>22</v>
      </c>
      <c r="C36" s="14">
        <f>4657.65+391.24</f>
        <v>5048.8899999999994</v>
      </c>
      <c r="D36" s="32">
        <v>931.53</v>
      </c>
      <c r="E36" s="35"/>
      <c r="F36" s="35"/>
      <c r="G36" s="35"/>
      <c r="H36" s="35"/>
      <c r="I36" s="36"/>
      <c r="J36" s="36"/>
      <c r="K36" s="12">
        <f t="shared" si="11"/>
        <v>5980.4199999999992</v>
      </c>
      <c r="L36" s="3">
        <v>481.64</v>
      </c>
      <c r="M36" s="3">
        <v>688.53</v>
      </c>
      <c r="N36" s="2">
        <f t="shared" si="5"/>
        <v>1790.1899999999991</v>
      </c>
      <c r="O36" s="2">
        <f t="shared" si="2"/>
        <v>2960.3599999999992</v>
      </c>
      <c r="P36" s="18">
        <f>SUM(K36-O36)+H36</f>
        <v>3020.06</v>
      </c>
      <c r="Q36" s="24"/>
      <c r="R36" s="25">
        <v>3020.06</v>
      </c>
    </row>
    <row r="37" spans="1:18" x14ac:dyDescent="0.25">
      <c r="A37">
        <v>31</v>
      </c>
      <c r="B37" s="16" t="s">
        <v>58</v>
      </c>
      <c r="C37" s="14">
        <v>1881.14</v>
      </c>
      <c r="D37" s="32"/>
      <c r="E37" s="35"/>
      <c r="F37" s="35"/>
      <c r="G37" s="35"/>
      <c r="H37" s="35"/>
      <c r="I37" s="36"/>
      <c r="J37" s="36"/>
      <c r="K37" s="12">
        <f t="shared" si="11"/>
        <v>1881.14</v>
      </c>
      <c r="L37" s="3"/>
      <c r="M37" s="3">
        <v>152.80000000000001</v>
      </c>
      <c r="N37" s="2">
        <f t="shared" ref="N37" si="12">K37-L37-M37-R37</f>
        <v>15.250000000000227</v>
      </c>
      <c r="O37" s="2">
        <f t="shared" ref="O37" si="13">SUM(L37:N37)</f>
        <v>168.05000000000024</v>
      </c>
      <c r="P37" s="18">
        <f t="shared" ref="P37" si="14">SUM(K37-O37)</f>
        <v>1713.09</v>
      </c>
      <c r="Q37" s="24"/>
      <c r="R37" s="25">
        <v>1713.09</v>
      </c>
    </row>
    <row r="38" spans="1:18" x14ac:dyDescent="0.25">
      <c r="A38">
        <v>32</v>
      </c>
      <c r="B38" s="16" t="s">
        <v>23</v>
      </c>
      <c r="C38" s="14">
        <v>3015.51</v>
      </c>
      <c r="D38" s="32"/>
      <c r="E38" s="35"/>
      <c r="F38" s="35"/>
      <c r="G38" s="35"/>
      <c r="H38" s="35"/>
      <c r="I38" s="36"/>
      <c r="J38" s="36"/>
      <c r="K38" s="12">
        <f t="shared" si="11"/>
        <v>3015.51</v>
      </c>
      <c r="L38" s="3">
        <v>62.42</v>
      </c>
      <c r="M38" s="3">
        <v>279.25</v>
      </c>
      <c r="N38" s="2">
        <f t="shared" si="5"/>
        <v>841.95</v>
      </c>
      <c r="O38" s="2">
        <f t="shared" si="2"/>
        <v>1183.6200000000001</v>
      </c>
      <c r="P38" s="18">
        <f t="shared" si="3"/>
        <v>1831.89</v>
      </c>
      <c r="Q38" s="24"/>
      <c r="R38" s="25">
        <v>1831.89</v>
      </c>
    </row>
    <row r="39" spans="1:18" x14ac:dyDescent="0.25">
      <c r="A39">
        <v>33</v>
      </c>
      <c r="B39" s="16" t="s">
        <v>24</v>
      </c>
      <c r="C39" s="14">
        <f>11980.55+3737.93</f>
        <v>15718.48</v>
      </c>
      <c r="D39" s="32">
        <v>2396.11</v>
      </c>
      <c r="E39" s="35"/>
      <c r="F39" s="35"/>
      <c r="G39" s="35"/>
      <c r="H39" s="35"/>
      <c r="I39" s="36"/>
      <c r="J39" s="36"/>
      <c r="K39" s="12">
        <f t="shared" si="11"/>
        <v>18114.59</v>
      </c>
      <c r="L39" s="3">
        <v>3801.09</v>
      </c>
      <c r="M39" s="3">
        <v>751.97</v>
      </c>
      <c r="N39" s="2">
        <f t="shared" si="5"/>
        <v>79.1200000000008</v>
      </c>
      <c r="O39" s="2">
        <f t="shared" si="2"/>
        <v>4632.1800000000012</v>
      </c>
      <c r="P39" s="18">
        <f t="shared" si="3"/>
        <v>13482.41</v>
      </c>
      <c r="Q39" s="24"/>
      <c r="R39" s="25">
        <v>13482.41</v>
      </c>
    </row>
    <row r="40" spans="1:18" x14ac:dyDescent="0.25">
      <c r="A40">
        <v>34</v>
      </c>
      <c r="B40" s="42" t="s">
        <v>25</v>
      </c>
      <c r="C40" s="43">
        <v>2069.3000000000002</v>
      </c>
      <c r="D40" s="33"/>
      <c r="E40" s="44"/>
      <c r="F40" s="44"/>
      <c r="G40" s="44"/>
      <c r="H40" s="44"/>
      <c r="I40" s="41"/>
      <c r="J40" s="41"/>
      <c r="K40" s="45">
        <f t="shared" ref="K40:K48" si="15">SUM(C40:I40)</f>
        <v>2069.3000000000002</v>
      </c>
      <c r="L40" s="46"/>
      <c r="M40" s="46">
        <v>169.73</v>
      </c>
      <c r="N40" s="47">
        <f t="shared" ref="N40:N59" si="16">K40-L40-M40-R40</f>
        <v>854.23000000000025</v>
      </c>
      <c r="O40" s="47">
        <f t="shared" si="2"/>
        <v>1023.9600000000003</v>
      </c>
      <c r="P40" s="48">
        <f t="shared" si="3"/>
        <v>1045.3399999999999</v>
      </c>
      <c r="Q40" s="24"/>
      <c r="R40" s="25">
        <v>1045.3399999999999</v>
      </c>
    </row>
    <row r="41" spans="1:18" x14ac:dyDescent="0.25">
      <c r="A41">
        <v>35</v>
      </c>
      <c r="B41" s="16" t="s">
        <v>26</v>
      </c>
      <c r="C41" s="14">
        <v>4225.22</v>
      </c>
      <c r="D41" s="32"/>
      <c r="E41" s="35"/>
      <c r="F41" s="35"/>
      <c r="G41" s="35"/>
      <c r="H41" s="35"/>
      <c r="I41" s="37"/>
      <c r="J41" s="37"/>
      <c r="K41" s="12">
        <f t="shared" si="15"/>
        <v>4225.22</v>
      </c>
      <c r="L41" s="3">
        <v>214.91</v>
      </c>
      <c r="M41" s="3">
        <v>442.81</v>
      </c>
      <c r="N41" s="2">
        <f t="shared" si="16"/>
        <v>450.19000000000051</v>
      </c>
      <c r="O41" s="2">
        <f t="shared" si="2"/>
        <v>1107.9100000000005</v>
      </c>
      <c r="P41" s="18">
        <f t="shared" si="3"/>
        <v>3117.3099999999995</v>
      </c>
      <c r="Q41" s="24"/>
      <c r="R41" s="25">
        <v>3117.31</v>
      </c>
    </row>
    <row r="42" spans="1:18" x14ac:dyDescent="0.25">
      <c r="A42">
        <v>36</v>
      </c>
      <c r="B42" s="16" t="s">
        <v>27</v>
      </c>
      <c r="C42" s="14">
        <f>7858.53+1100.19</f>
        <v>8958.7199999999993</v>
      </c>
      <c r="D42" s="32"/>
      <c r="E42" s="35"/>
      <c r="F42" s="35"/>
      <c r="G42" s="35"/>
      <c r="H42" s="35"/>
      <c r="I42" s="37">
        <v>5748.89</v>
      </c>
      <c r="J42" s="37"/>
      <c r="K42" s="12">
        <f t="shared" si="15"/>
        <v>14707.61</v>
      </c>
      <c r="L42" s="3">
        <v>2916.3</v>
      </c>
      <c r="M42" s="3">
        <f>38.89+713.08</f>
        <v>751.97</v>
      </c>
      <c r="N42" s="2">
        <f t="shared" si="16"/>
        <v>675.94000000000233</v>
      </c>
      <c r="O42" s="2">
        <f t="shared" si="2"/>
        <v>4344.2100000000028</v>
      </c>
      <c r="P42" s="18">
        <f t="shared" si="3"/>
        <v>10363.399999999998</v>
      </c>
      <c r="Q42" s="24"/>
      <c r="R42" s="25">
        <v>10363.4</v>
      </c>
    </row>
    <row r="43" spans="1:18" x14ac:dyDescent="0.25">
      <c r="A43">
        <v>37</v>
      </c>
      <c r="B43" s="16" t="s">
        <v>28</v>
      </c>
      <c r="C43" s="14">
        <f>5288.3+2709.19</f>
        <v>7997.49</v>
      </c>
      <c r="D43" s="32">
        <v>6000</v>
      </c>
      <c r="E43" s="35"/>
      <c r="F43" s="35"/>
      <c r="G43" s="35"/>
      <c r="H43" s="35"/>
      <c r="I43" s="37"/>
      <c r="J43" s="37"/>
      <c r="K43" s="12">
        <f t="shared" si="15"/>
        <v>13997.49</v>
      </c>
      <c r="L43" s="3">
        <v>2668.88</v>
      </c>
      <c r="M43" s="3">
        <f>38.89+713.08</f>
        <v>751.97</v>
      </c>
      <c r="N43" s="2">
        <f>K43-L43-M43-R43</f>
        <v>879.56000000000131</v>
      </c>
      <c r="O43" s="2">
        <f>SUM(L43:N43)</f>
        <v>4300.4100000000017</v>
      </c>
      <c r="P43" s="18">
        <f t="shared" si="3"/>
        <v>9697.0799999999981</v>
      </c>
      <c r="Q43" s="24"/>
      <c r="R43" s="25">
        <v>9697.08</v>
      </c>
    </row>
    <row r="44" spans="1:18" x14ac:dyDescent="0.25">
      <c r="A44">
        <v>38</v>
      </c>
      <c r="B44" s="16" t="s">
        <v>29</v>
      </c>
      <c r="C44" s="14">
        <f>3449.26+579.48</f>
        <v>4028.7400000000002</v>
      </c>
      <c r="D44" s="32">
        <v>689.85</v>
      </c>
      <c r="E44" s="35"/>
      <c r="F44" s="35">
        <f>295.65+1478.26+248.35+674.09</f>
        <v>2696.35</v>
      </c>
      <c r="G44" s="35"/>
      <c r="H44" s="35">
        <f>2463.76+413.91+492.75</f>
        <v>3370.42</v>
      </c>
      <c r="I44" s="37"/>
      <c r="J44" s="37"/>
      <c r="K44" s="12">
        <f t="shared" si="15"/>
        <v>10785.36</v>
      </c>
      <c r="L44" s="3">
        <f>225.26+12.92</f>
        <v>238.17999999999998</v>
      </c>
      <c r="M44" s="3">
        <f>221.95+530.02</f>
        <v>751.97</v>
      </c>
      <c r="N44" s="2">
        <f t="shared" si="16"/>
        <v>6248.7800000000007</v>
      </c>
      <c r="O44" s="2">
        <f t="shared" si="2"/>
        <v>7238.93</v>
      </c>
      <c r="P44" s="18">
        <f t="shared" si="3"/>
        <v>3546.4300000000003</v>
      </c>
      <c r="Q44" s="24"/>
      <c r="R44" s="25">
        <v>3546.43</v>
      </c>
    </row>
    <row r="45" spans="1:18" x14ac:dyDescent="0.25">
      <c r="A45">
        <v>39</v>
      </c>
      <c r="B45" s="16" t="s">
        <v>30</v>
      </c>
      <c r="C45" s="14">
        <v>6931.01</v>
      </c>
      <c r="D45" s="32"/>
      <c r="E45" s="35"/>
      <c r="F45" s="32"/>
      <c r="G45" s="35"/>
      <c r="H45" s="35"/>
      <c r="I45" s="37"/>
      <c r="J45" s="37"/>
      <c r="K45" s="12">
        <f t="shared" si="15"/>
        <v>6931.01</v>
      </c>
      <c r="L45" s="3">
        <v>777.74</v>
      </c>
      <c r="M45" s="3">
        <v>751.97</v>
      </c>
      <c r="N45" s="2">
        <f t="shared" si="16"/>
        <v>895.07000000000062</v>
      </c>
      <c r="O45" s="2">
        <f t="shared" si="2"/>
        <v>2424.7800000000007</v>
      </c>
      <c r="P45" s="18">
        <f>SUM(K45-O45)+H45</f>
        <v>4506.2299999999996</v>
      </c>
      <c r="Q45" s="24"/>
      <c r="R45" s="25">
        <v>4506.2299999999996</v>
      </c>
    </row>
    <row r="46" spans="1:18" x14ac:dyDescent="0.25">
      <c r="A46">
        <v>40</v>
      </c>
      <c r="B46" s="16" t="s">
        <v>31</v>
      </c>
      <c r="C46" s="14">
        <f>4927.52+650.43</f>
        <v>5577.9500000000007</v>
      </c>
      <c r="D46" s="32">
        <v>985.5</v>
      </c>
      <c r="E46" s="35"/>
      <c r="F46" s="35"/>
      <c r="G46" s="35"/>
      <c r="H46" s="35"/>
      <c r="I46" s="37"/>
      <c r="J46" s="37"/>
      <c r="K46" s="12">
        <f t="shared" si="15"/>
        <v>6563.4500000000007</v>
      </c>
      <c r="L46" s="3">
        <v>676.66</v>
      </c>
      <c r="M46" s="3">
        <v>751.97</v>
      </c>
      <c r="N46" s="2">
        <f t="shared" si="16"/>
        <v>1500.7800000000007</v>
      </c>
      <c r="O46" s="2">
        <f t="shared" si="2"/>
        <v>2929.4100000000008</v>
      </c>
      <c r="P46" s="18">
        <f>SUM(K46-O46)+H46</f>
        <v>3634.04</v>
      </c>
      <c r="Q46" s="24"/>
      <c r="R46" s="25">
        <v>3634.04</v>
      </c>
    </row>
    <row r="47" spans="1:18" x14ac:dyDescent="0.25">
      <c r="A47">
        <v>41</v>
      </c>
      <c r="B47" s="16" t="s">
        <v>32</v>
      </c>
      <c r="C47" s="14">
        <v>4183.3999999999996</v>
      </c>
      <c r="D47" s="32"/>
      <c r="E47" s="35"/>
      <c r="F47" s="35"/>
      <c r="G47" s="35"/>
      <c r="H47" s="35"/>
      <c r="I47" s="37"/>
      <c r="J47" s="37"/>
      <c r="K47" s="12">
        <f t="shared" si="15"/>
        <v>4183.3999999999996</v>
      </c>
      <c r="L47" s="3">
        <v>150.29</v>
      </c>
      <c r="M47" s="3">
        <v>436.95</v>
      </c>
      <c r="N47" s="2">
        <f t="shared" si="16"/>
        <v>669.98</v>
      </c>
      <c r="O47" s="2">
        <f t="shared" si="2"/>
        <v>1257.22</v>
      </c>
      <c r="P47" s="18">
        <f t="shared" si="3"/>
        <v>2926.1799999999994</v>
      </c>
      <c r="Q47" s="24"/>
      <c r="R47" s="25">
        <v>2926.18</v>
      </c>
    </row>
    <row r="48" spans="1:18" x14ac:dyDescent="0.25">
      <c r="A48">
        <v>42</v>
      </c>
      <c r="B48" s="16" t="s">
        <v>64</v>
      </c>
      <c r="C48" s="14">
        <f>985.47+68.98</f>
        <v>1054.45</v>
      </c>
      <c r="D48" s="32"/>
      <c r="E48" s="35"/>
      <c r="F48" s="35">
        <f>1288.69+90.21+459.63</f>
        <v>1838.5300000000002</v>
      </c>
      <c r="G48" s="35"/>
      <c r="H48" s="35"/>
      <c r="I48" s="37"/>
      <c r="J48" s="37"/>
      <c r="K48" s="12">
        <f t="shared" si="15"/>
        <v>2892.9800000000005</v>
      </c>
      <c r="L48" s="3"/>
      <c r="M48" s="3">
        <f>115.59+148.96</f>
        <v>264.55</v>
      </c>
      <c r="N48" s="2">
        <f t="shared" si="16"/>
        <v>668.19000000000028</v>
      </c>
      <c r="O48" s="2">
        <f t="shared" si="2"/>
        <v>932.74000000000024</v>
      </c>
      <c r="P48" s="18">
        <f t="shared" si="3"/>
        <v>1960.2400000000002</v>
      </c>
      <c r="Q48" s="24"/>
      <c r="R48" s="25">
        <v>1960.24</v>
      </c>
    </row>
    <row r="49" spans="1:18" x14ac:dyDescent="0.25">
      <c r="A49">
        <v>43</v>
      </c>
      <c r="B49" s="16" t="s">
        <v>33</v>
      </c>
      <c r="C49" s="14">
        <f>4927.52+709.56</f>
        <v>5637.08</v>
      </c>
      <c r="D49" s="32">
        <v>985.5</v>
      </c>
      <c r="E49" s="35"/>
      <c r="F49" s="35"/>
      <c r="G49" s="35"/>
      <c r="H49" s="35"/>
      <c r="I49" s="37"/>
      <c r="J49" s="37"/>
      <c r="K49" s="12">
        <f t="shared" ref="K49:K56" si="17">SUM(C49:I49)</f>
        <v>6622.58</v>
      </c>
      <c r="L49" s="3">
        <v>692.92</v>
      </c>
      <c r="M49" s="3">
        <v>751.97</v>
      </c>
      <c r="N49" s="2">
        <f t="shared" si="16"/>
        <v>220.86999999999989</v>
      </c>
      <c r="O49" s="2">
        <f t="shared" si="2"/>
        <v>1665.7599999999998</v>
      </c>
      <c r="P49" s="18">
        <f t="shared" si="3"/>
        <v>4956.82</v>
      </c>
      <c r="Q49" s="24"/>
      <c r="R49" s="25">
        <v>4956.82</v>
      </c>
    </row>
    <row r="50" spans="1:18" x14ac:dyDescent="0.25">
      <c r="A50">
        <v>44</v>
      </c>
      <c r="B50" s="16" t="s">
        <v>34</v>
      </c>
      <c r="C50" s="14">
        <v>5515.73</v>
      </c>
      <c r="D50" s="32"/>
      <c r="E50" s="35"/>
      <c r="F50" s="35"/>
      <c r="G50" s="35"/>
      <c r="H50" s="35"/>
      <c r="I50" s="37"/>
      <c r="J50" s="37"/>
      <c r="K50" s="12">
        <f t="shared" si="17"/>
        <v>5515.73</v>
      </c>
      <c r="L50" s="3">
        <v>423.87</v>
      </c>
      <c r="M50" s="3">
        <v>623.48</v>
      </c>
      <c r="N50" s="2">
        <f t="shared" si="16"/>
        <v>775.33999999999924</v>
      </c>
      <c r="O50" s="2">
        <f t="shared" si="2"/>
        <v>1822.6899999999991</v>
      </c>
      <c r="P50" s="18">
        <f t="shared" si="3"/>
        <v>3693.0400000000004</v>
      </c>
      <c r="Q50" s="24"/>
      <c r="R50" s="25">
        <v>3693.04</v>
      </c>
    </row>
    <row r="51" spans="1:18" x14ac:dyDescent="0.25">
      <c r="A51">
        <v>45</v>
      </c>
      <c r="B51" s="16" t="s">
        <v>57</v>
      </c>
      <c r="C51" s="14">
        <v>1881.14</v>
      </c>
      <c r="D51" s="32"/>
      <c r="E51" s="35"/>
      <c r="F51" s="35"/>
      <c r="G51" s="35"/>
      <c r="H51" s="35"/>
      <c r="I51" s="37"/>
      <c r="J51" s="37"/>
      <c r="K51" s="12">
        <f t="shared" si="17"/>
        <v>1881.14</v>
      </c>
      <c r="L51" s="3"/>
      <c r="M51" s="3">
        <v>152.80000000000001</v>
      </c>
      <c r="N51" s="2">
        <f t="shared" ref="N51" si="18">K51-L51-M51-R51</f>
        <v>6.1200000000001182</v>
      </c>
      <c r="O51" s="2">
        <f t="shared" ref="O51" si="19">SUM(L51:N51)</f>
        <v>158.92000000000013</v>
      </c>
      <c r="P51" s="18">
        <f t="shared" ref="P51" si="20">SUM(K51-O51)</f>
        <v>1722.22</v>
      </c>
      <c r="Q51" s="24"/>
      <c r="R51" s="25">
        <v>1722.22</v>
      </c>
    </row>
    <row r="52" spans="1:18" x14ac:dyDescent="0.25">
      <c r="A52">
        <v>46</v>
      </c>
      <c r="B52" s="16" t="s">
        <v>35</v>
      </c>
      <c r="C52" s="14">
        <f>11980.55+4025.46</f>
        <v>16006.009999999998</v>
      </c>
      <c r="D52" s="32">
        <v>2396.11</v>
      </c>
      <c r="E52" s="35"/>
      <c r="F52" s="35"/>
      <c r="G52" s="35"/>
      <c r="H52" s="35"/>
      <c r="I52" s="37"/>
      <c r="J52" s="37"/>
      <c r="K52" s="12">
        <f t="shared" si="17"/>
        <v>18402.12</v>
      </c>
      <c r="L52" s="3">
        <v>3984.43</v>
      </c>
      <c r="M52" s="3">
        <v>751.97</v>
      </c>
      <c r="N52" s="2">
        <f t="shared" si="16"/>
        <v>6.1199999999989814</v>
      </c>
      <c r="O52" s="2">
        <f t="shared" si="2"/>
        <v>4742.5199999999986</v>
      </c>
      <c r="P52" s="18">
        <f>SUM(K52-O52)+H52</f>
        <v>13659.6</v>
      </c>
      <c r="Q52" s="24"/>
      <c r="R52" s="25">
        <v>13659.6</v>
      </c>
    </row>
    <row r="53" spans="1:18" x14ac:dyDescent="0.25">
      <c r="A53">
        <v>47</v>
      </c>
      <c r="B53" s="16" t="s">
        <v>36</v>
      </c>
      <c r="C53" s="14">
        <v>2160.0700000000002</v>
      </c>
      <c r="D53" s="32"/>
      <c r="E53" s="35"/>
      <c r="F53" s="35"/>
      <c r="G53" s="35"/>
      <c r="H53" s="35"/>
      <c r="I53" s="37"/>
      <c r="J53" s="37"/>
      <c r="K53" s="12">
        <f t="shared" si="17"/>
        <v>2160.0700000000002</v>
      </c>
      <c r="L53" s="3"/>
      <c r="M53" s="3">
        <v>177.9</v>
      </c>
      <c r="N53" s="2">
        <f t="shared" si="16"/>
        <v>149.24</v>
      </c>
      <c r="O53" s="2">
        <f t="shared" si="2"/>
        <v>327.14</v>
      </c>
      <c r="P53" s="18">
        <f t="shared" si="3"/>
        <v>1832.9300000000003</v>
      </c>
      <c r="Q53" s="24"/>
      <c r="R53" s="25">
        <v>1832.93</v>
      </c>
    </row>
    <row r="54" spans="1:18" x14ac:dyDescent="0.25">
      <c r="A54">
        <v>48</v>
      </c>
      <c r="B54" s="16" t="s">
        <v>83</v>
      </c>
      <c r="C54" s="14">
        <v>2313.63</v>
      </c>
      <c r="D54" s="32"/>
      <c r="E54" s="35"/>
      <c r="F54" s="35"/>
      <c r="G54" s="35"/>
      <c r="H54" s="35"/>
      <c r="I54" s="37"/>
      <c r="J54" s="37"/>
      <c r="K54" s="12">
        <f t="shared" si="17"/>
        <v>2313.63</v>
      </c>
      <c r="L54" s="3">
        <v>16.100000000000001</v>
      </c>
      <c r="M54" s="3">
        <v>195.02</v>
      </c>
      <c r="N54" s="2">
        <f t="shared" ref="N54" si="21">K54-L54-M54-R54</f>
        <v>666.44000000000028</v>
      </c>
      <c r="O54" s="2">
        <f t="shared" ref="O54" si="22">SUM(L54:N54)</f>
        <v>877.56000000000029</v>
      </c>
      <c r="P54" s="18">
        <f t="shared" ref="P54" si="23">SUM(K54-O54)</f>
        <v>1436.0699999999997</v>
      </c>
      <c r="Q54" s="24"/>
      <c r="R54" s="25">
        <v>1436.07</v>
      </c>
    </row>
    <row r="55" spans="1:18" x14ac:dyDescent="0.25">
      <c r="A55">
        <v>49</v>
      </c>
      <c r="B55" s="16" t="s">
        <v>37</v>
      </c>
      <c r="C55" s="14">
        <f>10377.23+3984.86</f>
        <v>14362.09</v>
      </c>
      <c r="D55" s="32">
        <v>2075.4499999999998</v>
      </c>
      <c r="E55" s="35"/>
      <c r="F55" s="35"/>
      <c r="G55" s="35"/>
      <c r="H55" s="35"/>
      <c r="I55" s="37"/>
      <c r="J55" s="37"/>
      <c r="K55" s="12">
        <f t="shared" si="17"/>
        <v>16437.54</v>
      </c>
      <c r="L55" s="3">
        <v>3392.03</v>
      </c>
      <c r="M55" s="3">
        <v>751.97</v>
      </c>
      <c r="N55" s="2">
        <f t="shared" si="16"/>
        <v>1442.8000000000011</v>
      </c>
      <c r="O55" s="2">
        <f t="shared" si="2"/>
        <v>5586.8000000000011</v>
      </c>
      <c r="P55" s="18">
        <f>SUM(K55-O55)+H55</f>
        <v>10850.74</v>
      </c>
      <c r="Q55" s="24"/>
      <c r="R55" s="25">
        <v>10850.74</v>
      </c>
    </row>
    <row r="56" spans="1:18" x14ac:dyDescent="0.25">
      <c r="A56">
        <v>50</v>
      </c>
      <c r="B56" s="16" t="s">
        <v>38</v>
      </c>
      <c r="C56" s="14">
        <v>5032.41</v>
      </c>
      <c r="D56" s="32"/>
      <c r="E56" s="35"/>
      <c r="F56" s="35"/>
      <c r="G56" s="35"/>
      <c r="H56" s="35"/>
      <c r="I56" s="37"/>
      <c r="J56" s="37"/>
      <c r="K56" s="12">
        <f t="shared" si="17"/>
        <v>5032.41</v>
      </c>
      <c r="L56" s="3">
        <v>328.45</v>
      </c>
      <c r="M56" s="3">
        <v>555.80999999999995</v>
      </c>
      <c r="N56" s="2">
        <f t="shared" si="16"/>
        <v>1928.7799999999997</v>
      </c>
      <c r="O56" s="2">
        <f t="shared" si="2"/>
        <v>2813.04</v>
      </c>
      <c r="P56" s="18">
        <f t="shared" si="3"/>
        <v>2219.37</v>
      </c>
      <c r="Q56" s="24"/>
      <c r="R56" s="25">
        <v>2219.37</v>
      </c>
    </row>
    <row r="57" spans="1:18" x14ac:dyDescent="0.25">
      <c r="A57">
        <v>51</v>
      </c>
      <c r="B57" s="16" t="s">
        <v>65</v>
      </c>
      <c r="C57" s="14">
        <v>4033.32</v>
      </c>
      <c r="D57" s="32"/>
      <c r="E57" s="35"/>
      <c r="F57" s="35"/>
      <c r="G57" s="35"/>
      <c r="H57" s="35"/>
      <c r="I57" s="37"/>
      <c r="J57" s="37"/>
      <c r="K57" s="12">
        <f>SUM(C57:I57)</f>
        <v>4033.32</v>
      </c>
      <c r="L57" s="3">
        <v>187.81</v>
      </c>
      <c r="M57" s="3">
        <v>415.94</v>
      </c>
      <c r="N57" s="2">
        <f t="shared" ref="N57" si="24">K57-L57-M57-R57</f>
        <v>1057.5500000000002</v>
      </c>
      <c r="O57" s="2">
        <f t="shared" ref="O57" si="25">SUM(L57:N57)</f>
        <v>1661.3000000000002</v>
      </c>
      <c r="P57" s="18">
        <f t="shared" ref="P57" si="26">SUM(K57-O57)</f>
        <v>2372.02</v>
      </c>
      <c r="Q57" s="24"/>
      <c r="R57" s="25">
        <v>2372.02</v>
      </c>
    </row>
    <row r="58" spans="1:18" x14ac:dyDescent="0.25">
      <c r="A58">
        <v>52</v>
      </c>
      <c r="B58" s="16" t="s">
        <v>63</v>
      </c>
      <c r="C58" s="14">
        <v>1790.53</v>
      </c>
      <c r="D58" s="32"/>
      <c r="E58" s="35"/>
      <c r="F58" s="35"/>
      <c r="G58" s="35"/>
      <c r="H58" s="35"/>
      <c r="I58" s="37"/>
      <c r="J58" s="37"/>
      <c r="K58" s="12">
        <f>SUM(C58:I58)</f>
        <v>1790.53</v>
      </c>
      <c r="L58" s="3"/>
      <c r="M58" s="3">
        <v>144.63999999999999</v>
      </c>
      <c r="N58" s="2">
        <f t="shared" ref="N58" si="27">K58-L58-M58-R58</f>
        <v>131.40999999999985</v>
      </c>
      <c r="O58" s="2">
        <f t="shared" ref="O58" si="28">SUM(L58:N58)</f>
        <v>276.04999999999984</v>
      </c>
      <c r="P58" s="18">
        <f t="shared" ref="P58" si="29">SUM(K58-O58)</f>
        <v>1514.48</v>
      </c>
      <c r="Q58" s="24"/>
      <c r="R58" s="25">
        <v>1514.48</v>
      </c>
    </row>
    <row r="59" spans="1:18" ht="15.75" thickBot="1" x14ac:dyDescent="0.3">
      <c r="A59">
        <v>53</v>
      </c>
      <c r="B59" s="17" t="s">
        <v>39</v>
      </c>
      <c r="C59" s="15">
        <f>8015.71+1154.26</f>
        <v>9169.9699999999993</v>
      </c>
      <c r="D59" s="34">
        <v>1603.14</v>
      </c>
      <c r="E59" s="38"/>
      <c r="F59" s="38"/>
      <c r="G59" s="38"/>
      <c r="H59" s="38"/>
      <c r="I59" s="39">
        <v>5748.89</v>
      </c>
      <c r="J59" s="39"/>
      <c r="K59" s="13">
        <f>SUM(C59:I59)</f>
        <v>16522</v>
      </c>
      <c r="L59" s="10">
        <v>3415.26</v>
      </c>
      <c r="M59" s="10">
        <f>96.3+655.67</f>
        <v>751.96999999999991</v>
      </c>
      <c r="N59" s="11">
        <f t="shared" si="16"/>
        <v>68.920000000000073</v>
      </c>
      <c r="O59" s="11">
        <f t="shared" si="2"/>
        <v>4236.1500000000005</v>
      </c>
      <c r="P59" s="19">
        <f t="shared" si="3"/>
        <v>12285.849999999999</v>
      </c>
      <c r="Q59" s="24"/>
      <c r="R59" s="25">
        <v>12285.85</v>
      </c>
    </row>
    <row r="60" spans="1:18" ht="15.75" thickBot="1" x14ac:dyDescent="0.3"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</row>
    <row r="61" spans="1:18" x14ac:dyDescent="0.25">
      <c r="B61" s="52" t="s">
        <v>77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4"/>
    </row>
    <row r="62" spans="1:18" x14ac:dyDescent="0.25">
      <c r="B62" s="56" t="s">
        <v>75</v>
      </c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8"/>
    </row>
    <row r="63" spans="1:18" ht="5.25" customHeight="1" x14ac:dyDescent="0.25">
      <c r="B63" s="59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1"/>
    </row>
    <row r="64" spans="1:18" x14ac:dyDescent="0.25">
      <c r="B64" s="62" t="s">
        <v>76</v>
      </c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4"/>
    </row>
    <row r="65" spans="2:16" x14ac:dyDescent="0.25">
      <c r="B65" s="65" t="s">
        <v>71</v>
      </c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7"/>
    </row>
    <row r="66" spans="2:16" x14ac:dyDescent="0.25">
      <c r="B66" s="65" t="s">
        <v>72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7"/>
    </row>
    <row r="67" spans="2:16" x14ac:dyDescent="0.25">
      <c r="B67" s="65" t="s">
        <v>73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7"/>
    </row>
    <row r="68" spans="2:16" ht="15.75" thickBot="1" x14ac:dyDescent="0.3">
      <c r="B68" s="49" t="s">
        <v>74</v>
      </c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1"/>
    </row>
    <row r="69" spans="2:16" x14ac:dyDescent="0.25"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</row>
    <row r="70" spans="2:16" x14ac:dyDescent="0.25">
      <c r="B70" s="6"/>
      <c r="C70" s="5"/>
      <c r="D70" s="28"/>
      <c r="E70" s="5"/>
      <c r="F70" s="28"/>
      <c r="G70" s="28"/>
      <c r="H70" s="5"/>
      <c r="I70" s="5"/>
      <c r="J70" s="28"/>
      <c r="K70" s="5"/>
      <c r="L70" s="5"/>
      <c r="M70" s="5"/>
      <c r="N70" s="5"/>
      <c r="O70" s="5"/>
      <c r="P70" s="5"/>
    </row>
    <row r="71" spans="2:16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</sheetData>
  <mergeCells count="19">
    <mergeCell ref="B65:P65"/>
    <mergeCell ref="B67:P67"/>
    <mergeCell ref="B66:P66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61:P61"/>
    <mergeCell ref="B60:P60"/>
    <mergeCell ref="B62:P62"/>
    <mergeCell ref="B63:P63"/>
    <mergeCell ref="B64:P64"/>
    <mergeCell ref="B68:P68"/>
  </mergeCells>
  <pageMargins left="0.23622047244094491" right="3.937007874015748E-2" top="0.19685039370078741" bottom="0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2021-05-05T16:16:36Z</cp:lastPrinted>
  <dcterms:created xsi:type="dcterms:W3CDTF">2016-04-28T12:49:34Z</dcterms:created>
  <dcterms:modified xsi:type="dcterms:W3CDTF">2022-01-27T12:37:10Z</dcterms:modified>
</cp:coreProperties>
</file>