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3 - FOLHA DE PAGAMENTO 2023\FOLHAS DE PAGAMENTO\PORTAL DA TRANSPARÊNCIA\03-MARÇO\"/>
    </mc:Choice>
  </mc:AlternateContent>
  <xr:revisionPtr revIDLastSave="0" documentId="13_ncr:1_{6B961BD5-2C92-4691-B3BD-5CFCEACB1B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s" sheetId="6" r:id="rId1"/>
  </sheets>
  <definedNames>
    <definedName name="_xlnm.Print_Area" localSheetId="0">mes!$A$1:$P$74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5" i="6" l="1"/>
  <c r="L61" i="6"/>
  <c r="G61" i="6"/>
  <c r="F61" i="6"/>
  <c r="H61" i="6"/>
  <c r="C61" i="6"/>
  <c r="C59" i="6"/>
  <c r="C57" i="6"/>
  <c r="C55" i="6"/>
  <c r="C54" i="6"/>
  <c r="C52" i="6"/>
  <c r="C51" i="6"/>
  <c r="M46" i="6"/>
  <c r="F46" i="6"/>
  <c r="C46" i="6"/>
  <c r="C43" i="6"/>
  <c r="C42" i="6"/>
  <c r="G40" i="6"/>
  <c r="C40" i="6"/>
  <c r="C39" i="6"/>
  <c r="C37" i="6"/>
  <c r="G36" i="6"/>
  <c r="F36" i="6"/>
  <c r="C36" i="6"/>
  <c r="M32" i="6"/>
  <c r="L32" i="6"/>
  <c r="F32" i="6"/>
  <c r="H32" i="6"/>
  <c r="C32" i="6"/>
  <c r="C31" i="6"/>
  <c r="L30" i="6"/>
  <c r="C30" i="6"/>
  <c r="F30" i="6"/>
  <c r="H30" i="6"/>
  <c r="F29" i="6"/>
  <c r="G26" i="6"/>
  <c r="C26" i="6"/>
  <c r="M24" i="6"/>
  <c r="F24" i="6"/>
  <c r="K24" i="6" s="1"/>
  <c r="N24" i="6" s="1"/>
  <c r="O24" i="6" s="1"/>
  <c r="P24" i="6" s="1"/>
  <c r="C22" i="6"/>
  <c r="K21" i="6"/>
  <c r="N21" i="6"/>
  <c r="M18" i="6"/>
  <c r="F18" i="6"/>
  <c r="H18" i="6"/>
  <c r="C18" i="6"/>
  <c r="C16" i="6"/>
  <c r="D15" i="6"/>
  <c r="C15" i="6"/>
  <c r="C14" i="6"/>
  <c r="M13" i="6"/>
  <c r="F13" i="6"/>
  <c r="C13" i="6"/>
  <c r="M9" i="6"/>
  <c r="F9" i="6"/>
  <c r="C9" i="6"/>
  <c r="M8" i="6"/>
  <c r="G8" i="6"/>
  <c r="F8" i="6"/>
  <c r="H8" i="6"/>
  <c r="C8" i="6"/>
  <c r="C7" i="6"/>
  <c r="K64" i="6"/>
  <c r="N64" i="6" s="1"/>
  <c r="O64" i="6" s="1"/>
  <c r="P64" i="6" s="1"/>
  <c r="K60" i="6"/>
  <c r="N60" i="6" s="1"/>
  <c r="O60" i="6" s="1"/>
  <c r="K50" i="6"/>
  <c r="N50" i="6" s="1"/>
  <c r="O50" i="6" s="1"/>
  <c r="P50" i="6" s="1"/>
  <c r="C49" i="6"/>
  <c r="C48" i="6"/>
  <c r="C47" i="6"/>
  <c r="K45" i="6"/>
  <c r="N45" i="6" s="1"/>
  <c r="O45" i="6" s="1"/>
  <c r="P45" i="6" s="1"/>
  <c r="M40" i="6"/>
  <c r="K38" i="6"/>
  <c r="N38" i="6" s="1"/>
  <c r="O38" i="6" s="1"/>
  <c r="P38" i="6" s="1"/>
  <c r="C25" i="6"/>
  <c r="K23" i="6"/>
  <c r="C20" i="6"/>
  <c r="C17" i="6"/>
  <c r="K11" i="6"/>
  <c r="M7" i="6"/>
  <c r="M65" i="6"/>
  <c r="M54" i="6"/>
  <c r="M51" i="6"/>
  <c r="M49" i="6"/>
  <c r="M48" i="6"/>
  <c r="M47" i="6"/>
  <c r="M43" i="6"/>
  <c r="M31" i="6"/>
  <c r="M27" i="6"/>
  <c r="M25" i="6"/>
  <c r="M20" i="6"/>
  <c r="M16" i="6"/>
  <c r="M15" i="6"/>
  <c r="C53" i="6"/>
  <c r="C44" i="6"/>
  <c r="C33" i="6"/>
  <c r="C12" i="6"/>
  <c r="C10" i="6"/>
  <c r="C56" i="6"/>
  <c r="O21" i="6" l="1"/>
  <c r="P21" i="6" s="1"/>
  <c r="P60" i="6"/>
  <c r="N23" i="6"/>
  <c r="O23" i="6" s="1"/>
  <c r="P23" i="6" s="1"/>
  <c r="N11" i="6"/>
  <c r="O11" i="6" s="1"/>
  <c r="P11" i="6" s="1"/>
  <c r="K59" i="6"/>
  <c r="K65" i="6" l="1"/>
  <c r="K47" i="6"/>
  <c r="N59" i="6"/>
  <c r="O59" i="6" s="1"/>
  <c r="P59" i="6" s="1"/>
  <c r="K14" i="6"/>
  <c r="K10" i="6"/>
  <c r="N10" i="6" s="1"/>
  <c r="O10" i="6" s="1"/>
  <c r="P10" i="6" s="1"/>
  <c r="N14" i="6" l="1"/>
  <c r="O14" i="6" s="1"/>
  <c r="P14" i="6" s="1"/>
  <c r="K57" i="6" l="1"/>
  <c r="K49" i="6"/>
  <c r="K48" i="6"/>
  <c r="K46" i="6"/>
  <c r="K37" i="6"/>
  <c r="K51" i="6"/>
  <c r="K53" i="6"/>
  <c r="K54" i="6"/>
  <c r="K55" i="6"/>
  <c r="K56" i="6"/>
  <c r="K58" i="6"/>
  <c r="K61" i="6"/>
  <c r="K62" i="6"/>
  <c r="K63" i="6"/>
  <c r="K44" i="6"/>
  <c r="K43" i="6"/>
  <c r="K33" i="6"/>
  <c r="K34" i="6"/>
  <c r="K35" i="6"/>
  <c r="K36" i="6"/>
  <c r="K39" i="6"/>
  <c r="K40" i="6"/>
  <c r="K41" i="6"/>
  <c r="K42" i="6"/>
  <c r="K8" i="6"/>
  <c r="K9" i="6"/>
  <c r="K12" i="6"/>
  <c r="K13" i="6"/>
  <c r="K16" i="6"/>
  <c r="K17" i="6"/>
  <c r="K18" i="6"/>
  <c r="K19" i="6"/>
  <c r="K20" i="6"/>
  <c r="K22" i="6"/>
  <c r="K25" i="6"/>
  <c r="K26" i="6"/>
  <c r="K27" i="6"/>
  <c r="K28" i="6"/>
  <c r="K29" i="6"/>
  <c r="K30" i="6"/>
  <c r="K31" i="6"/>
  <c r="K32" i="6"/>
  <c r="K7" i="6"/>
  <c r="K52" i="6" l="1"/>
  <c r="K15" i="6"/>
  <c r="N63" i="6" l="1"/>
  <c r="O63" i="6" s="1"/>
  <c r="P63" i="6" s="1"/>
  <c r="N19" i="6" l="1"/>
  <c r="O19" i="6" s="1"/>
  <c r="P19" i="6" s="1"/>
  <c r="N34" i="6" l="1"/>
  <c r="O34" i="6" s="1"/>
  <c r="P34" i="6" s="1"/>
  <c r="N9" i="6" l="1"/>
  <c r="O9" i="6" s="1"/>
  <c r="P9" i="6" s="1"/>
  <c r="N41" i="6" l="1"/>
  <c r="O41" i="6" s="1"/>
  <c r="P41" i="6" s="1"/>
  <c r="N56" i="6" l="1"/>
  <c r="O56" i="6" s="1"/>
  <c r="P56" i="6" s="1"/>
  <c r="N28" i="6"/>
  <c r="O28" i="6" s="1"/>
  <c r="P28" i="6" s="1"/>
  <c r="N16" i="6" l="1"/>
  <c r="O16" i="6" s="1"/>
  <c r="P16" i="6" s="1"/>
  <c r="N13" i="6" l="1"/>
  <c r="O13" i="6" s="1"/>
  <c r="P13" i="6" s="1"/>
  <c r="N65" i="6"/>
  <c r="O65" i="6" s="1"/>
  <c r="P65" i="6" s="1"/>
  <c r="N58" i="6"/>
  <c r="O58" i="6" s="1"/>
  <c r="N55" i="6"/>
  <c r="O55" i="6" s="1"/>
  <c r="P55" i="6" s="1"/>
  <c r="N54" i="6"/>
  <c r="O54" i="6" s="1"/>
  <c r="P54" i="6" s="1"/>
  <c r="N53" i="6"/>
  <c r="O53" i="6" s="1"/>
  <c r="N49" i="6"/>
  <c r="O49" i="6" s="1"/>
  <c r="N48" i="6"/>
  <c r="O48" i="6" s="1"/>
  <c r="N47" i="6"/>
  <c r="O47" i="6" s="1"/>
  <c r="P47" i="6" s="1"/>
  <c r="N43" i="6"/>
  <c r="O43" i="6" s="1"/>
  <c r="P43" i="6" s="1"/>
  <c r="N39" i="6"/>
  <c r="O39" i="6" s="1"/>
  <c r="P39" i="6" s="1"/>
  <c r="N37" i="6"/>
  <c r="O37" i="6" s="1"/>
  <c r="P37" i="6" s="1"/>
  <c r="N36" i="6"/>
  <c r="O36" i="6" s="1"/>
  <c r="P36" i="6" s="1"/>
  <c r="N33" i="6"/>
  <c r="O33" i="6" s="1"/>
  <c r="P33" i="6" s="1"/>
  <c r="N32" i="6"/>
  <c r="O32" i="6" s="1"/>
  <c r="P32" i="6" s="1"/>
  <c r="N31" i="6"/>
  <c r="O31" i="6" s="1"/>
  <c r="P31" i="6" s="1"/>
  <c r="N29" i="6"/>
  <c r="O29" i="6" s="1"/>
  <c r="P29" i="6" s="1"/>
  <c r="N27" i="6"/>
  <c r="O27" i="6" s="1"/>
  <c r="P27" i="6" s="1"/>
  <c r="N26" i="6"/>
  <c r="O26" i="6" s="1"/>
  <c r="P26" i="6" s="1"/>
  <c r="N25" i="6"/>
  <c r="O25" i="6" s="1"/>
  <c r="P25" i="6" s="1"/>
  <c r="N20" i="6"/>
  <c r="O20" i="6" s="1"/>
  <c r="P20" i="6" s="1"/>
  <c r="N7" i="6"/>
  <c r="O7" i="6" s="1"/>
  <c r="P7" i="6" s="1"/>
  <c r="N46" i="6" l="1"/>
  <c r="O46" i="6" s="1"/>
  <c r="P46" i="6" s="1"/>
  <c r="N8" i="6"/>
  <c r="N62" i="6"/>
  <c r="O62" i="6" s="1"/>
  <c r="P62" i="6" s="1"/>
  <c r="N17" i="6"/>
  <c r="O17" i="6" s="1"/>
  <c r="P17" i="6" s="1"/>
  <c r="N57" i="6"/>
  <c r="O57" i="6" s="1"/>
  <c r="P57" i="6" s="1"/>
  <c r="N51" i="6"/>
  <c r="N52" i="6"/>
  <c r="O52" i="6" s="1"/>
  <c r="P52" i="6" s="1"/>
  <c r="N61" i="6"/>
  <c r="O61" i="6" s="1"/>
  <c r="P61" i="6" s="1"/>
  <c r="N12" i="6"/>
  <c r="O12" i="6" s="1"/>
  <c r="P12" i="6" s="1"/>
  <c r="N35" i="6"/>
  <c r="O35" i="6" s="1"/>
  <c r="P35" i="6" s="1"/>
  <c r="N30" i="6"/>
  <c r="O30" i="6" s="1"/>
  <c r="P30" i="6" s="1"/>
  <c r="N40" i="6"/>
  <c r="O40" i="6" s="1"/>
  <c r="P40" i="6" s="1"/>
  <c r="N44" i="6"/>
  <c r="O44" i="6" s="1"/>
  <c r="P44" i="6" s="1"/>
  <c r="N22" i="6"/>
  <c r="O22" i="6" s="1"/>
  <c r="P22" i="6" s="1"/>
  <c r="N18" i="6"/>
  <c r="O18" i="6" s="1"/>
  <c r="P18" i="6" s="1"/>
  <c r="N15" i="6"/>
  <c r="O15" i="6" s="1"/>
  <c r="P15" i="6" s="1"/>
  <c r="P49" i="6"/>
  <c r="P48" i="6"/>
  <c r="P53" i="6"/>
  <c r="N42" i="6"/>
  <c r="O42" i="6" s="1"/>
  <c r="P42" i="6" s="1"/>
  <c r="P58" i="6"/>
  <c r="O51" i="6" l="1"/>
  <c r="O8" i="6"/>
  <c r="P51" i="6" l="1"/>
  <c r="P8" i="6"/>
</calcChain>
</file>

<file path=xl/sharedStrings.xml><?xml version="1.0" encoding="utf-8"?>
<sst xmlns="http://schemas.openxmlformats.org/spreadsheetml/2006/main" count="92" uniqueCount="90">
  <si>
    <t>ADRIANA IAIZZO MAGALHAES</t>
  </si>
  <si>
    <t>ALBERTO AUGUSTO SPITZ</t>
  </si>
  <si>
    <t>ATILA COLONIA CUNNINGHAM</t>
  </si>
  <si>
    <t>BERNADETE DOS SANTOS GONCALVES</t>
  </si>
  <si>
    <t>CELITA ZAIDOVICZ PALTANIN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</si>
  <si>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</si>
  <si>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</si>
  <si>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</si>
  <si>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</si>
  <si>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</si>
  <si>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</si>
  <si>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</si>
  <si>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</si>
  <si>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JAQUELINE ANDREIA FORNAZARI KOHLER</t>
  </si>
  <si>
    <t>JEFERSON LUIZ LUCASKI</t>
  </si>
  <si>
    <t>JERUZA FERNANDES MOURA BURGES</t>
  </si>
  <si>
    <t>JOAO WARDZINSKI</t>
  </si>
  <si>
    <t>LAURA POTIRA MOREIRA DE SOUZA</t>
  </si>
  <si>
    <t>LUCIANA CRISTINA CORRER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</si>
  <si>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</si>
  <si>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</si>
  <si>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</si>
  <si>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</si>
  <si>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</si>
  <si>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</si>
  <si>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</si>
  <si>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</si>
  <si>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</si>
  <si>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</si>
  <si>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</si>
  <si>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</si>
  <si>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RAFAEL MARCOS AMARAL</t>
  </si>
  <si>
    <t>ROGERS SILVA GARCEZ DAS NEVES</t>
  </si>
  <si>
    <t>RONALDO VELOSO DE ALCANTARA</t>
  </si>
  <si>
    <t>ROSANA APARECIDA SILVA CARDOSO</t>
  </si>
  <si>
    <t>VALDAIR DE SOUZA</t>
  </si>
  <si>
    <t>VALMIR CORREA DOS SANTOS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</si>
  <si>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</si>
  <si>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</si>
  <si>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</si>
  <si>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</si>
  <si>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</si>
  <si>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</si>
  <si>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</si>
  <si>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</si>
  <si>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</si>
  <si>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</si>
  <si>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</si>
  <si>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</si>
  <si>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</si>
  <si>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</si>
  <si>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 xml:space="preserve">Honorário de </t>
  </si>
  <si>
    <t>Sucumbência</t>
  </si>
  <si>
    <t>13º Salário</t>
  </si>
  <si>
    <t>HELENA YURIKO HASEGAWA TORQUATO</t>
  </si>
  <si>
    <t>RONALD AURELIO KOCHOLIK</t>
  </si>
  <si>
    <t>MARCIA PORDEUS TORRES</t>
  </si>
  <si>
    <t>ALISSON BOBATO DALSANTO</t>
  </si>
  <si>
    <t>KARIN OLIVEIRA SILVA</t>
  </si>
  <si>
    <t>MAIRÊ APARECIDA DAHLEM</t>
  </si>
  <si>
    <t>ERYKA RENATA FERREIRA DE MELLO SENFF MAIA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</si>
  <si>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</si>
  <si>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</si>
  <si>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</si>
  <si>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</si>
  <si>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</si>
  <si>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</si>
  <si>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</si>
  <si>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 e pelo aperfeiçoamento.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</si>
  <si>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</si>
  <si>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</si>
  <si>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Indenização</t>
  </si>
  <si>
    <t>PDV</t>
  </si>
  <si>
    <t>CARLOS ALBERTO JUNGLES DE CAMARGO</t>
  </si>
  <si>
    <t>SARA EMMANUELLE MARTINS SCARPETTA</t>
  </si>
  <si>
    <t>ANA PAULA ANBIEL GAIGNER</t>
  </si>
  <si>
    <t>recebidos por 22 dias mensais, descontando do funcionário o percentual de 0,50% (meio por cento) sobre o valor total dos vales fornecidos no período.</t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</si>
  <si>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consignação, plano de saúde, alimentação/refeição, vale transporte, pensão alimentícia, entre outros.</t>
    </r>
  </si>
  <si>
    <t>IRAN LUIZ CORDEIRO</t>
  </si>
  <si>
    <t>A concessão do vale alimentação e/ou vale refeição aos funcionários do CRCPR é realizada por meio de cartão magnético. O benefício é disponibilizado mensalmente no valor de R$ 55,55 (cinquenta e cinco reais e cinquenta e cinco centavos)</t>
  </si>
  <si>
    <t>ANNE KAROLYNE CABRAL FORTUNATO</t>
  </si>
  <si>
    <t>GABRIEL ALVES FONSECA</t>
  </si>
  <si>
    <t>GELSON LEANDRO CURI</t>
  </si>
  <si>
    <t>MAICON ALLAN MARTINS GADIOLI</t>
  </si>
  <si>
    <t>MARILIZA MIOTTO</t>
  </si>
  <si>
    <t>MURILO GRAZIANI</t>
  </si>
  <si>
    <t>SIBELLI CRISTINA SABINO</t>
  </si>
  <si>
    <t>VINICIUS HERRERA FRANCESCHINI</t>
  </si>
  <si>
    <t>MARÇO/2023</t>
  </si>
  <si>
    <t>FERNANDA FERRARI ZRZEBIELA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</si>
</sst>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81">
    <xf numFmtId="0" fontId="0" fillId="0" borderId="0" xfId="0"/>
    <xf numFmtId="164" fontId="0" fillId="0" borderId="0" xfId="0" applyNumberFormat="1"/>
    <xf numFmtId="164" fontId="0" fillId="0" borderId="3" xfId="0" applyNumberFormat="1" applyBorder="1"/>
    <xf numFmtId="164" fontId="0" fillId="0" borderId="3" xfId="0" applyNumberFormat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9" fillId="0" borderId="2" xfId="0" applyFont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15" xfId="0" applyNumberFormat="1" applyBorder="1" applyProtection="1">
      <protection locked="0"/>
    </xf>
    <xf numFmtId="164" fontId="0" fillId="0" borderId="15" xfId="0" applyNumberFormat="1" applyBorder="1"/>
    <xf numFmtId="164" fontId="1" fillId="4" borderId="4" xfId="0" applyNumberFormat="1" applyFont="1" applyFill="1" applyBorder="1"/>
    <xf numFmtId="164" fontId="1" fillId="4" borderId="5" xfId="0" applyNumberFormat="1" applyFont="1" applyFill="1" applyBorder="1"/>
    <xf numFmtId="164" fontId="1" fillId="4" borderId="4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164" fontId="1" fillId="2" borderId="20" xfId="0" applyNumberFormat="1" applyFont="1" applyFill="1" applyBorder="1"/>
    <xf numFmtId="164" fontId="1" fillId="2" borderId="21" xfId="0" applyNumberFormat="1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0" xfId="0" applyFont="1"/>
    <xf numFmtId="44" fontId="1" fillId="3" borderId="0" xfId="1" applyFont="1" applyFill="1" applyProtection="1">
      <protection locked="0"/>
    </xf>
    <xf numFmtId="0" fontId="6" fillId="0" borderId="0" xfId="0" applyFont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0" borderId="24" xfId="0" applyNumberFormat="1" applyFont="1" applyBorder="1" applyProtection="1">
      <protection locked="0"/>
    </xf>
    <xf numFmtId="164" fontId="1" fillId="0" borderId="15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right"/>
      <protection locked="0"/>
    </xf>
    <xf numFmtId="164" fontId="1" fillId="0" borderId="15" xfId="0" applyNumberFormat="1" applyFont="1" applyBorder="1" applyAlignment="1" applyProtection="1">
      <alignment horizontal="right"/>
      <protection locked="0"/>
    </xf>
    <xf numFmtId="164" fontId="1" fillId="0" borderId="24" xfId="0" applyNumberFormat="1" applyFont="1" applyBorder="1" applyAlignment="1" applyProtection="1">
      <alignment horizontal="center"/>
      <protection locked="0"/>
    </xf>
    <xf numFmtId="0" fontId="0" fillId="0" borderId="25" xfId="0" applyBorder="1"/>
    <xf numFmtId="164" fontId="1" fillId="4" borderId="26" xfId="0" applyNumberFormat="1" applyFont="1" applyFill="1" applyBorder="1" applyProtection="1">
      <protection locked="0"/>
    </xf>
    <xf numFmtId="164" fontId="1" fillId="4" borderId="26" xfId="0" applyNumberFormat="1" applyFont="1" applyFill="1" applyBorder="1"/>
    <xf numFmtId="164" fontId="0" fillId="0" borderId="24" xfId="0" applyNumberFormat="1" applyBorder="1" applyProtection="1">
      <protection locked="0"/>
    </xf>
    <xf numFmtId="164" fontId="0" fillId="0" borderId="24" xfId="0" applyNumberFormat="1" applyBorder="1"/>
    <xf numFmtId="164" fontId="1" fillId="2" borderId="27" xfId="0" applyNumberFormat="1" applyFont="1" applyFill="1" applyBorder="1"/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49" fontId="1" fillId="3" borderId="22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/>
    </xf>
    <xf numFmtId="0" fontId="1" fillId="0" borderId="0" xfId="0" applyFont="1" applyProtection="1">
      <protection locked="0"/>
    </xf>
    <xf numFmtId="0" fontId="0" fillId="0" borderId="0" xfId="0" applyAlignment="1">
      <alignment horizontal="center"/>
    </xf>
    <xf numFmtId="164" fontId="2" fillId="0" borderId="0" xfId="0" applyNumberFormat="1" applyFont="1" applyAlignment="1" applyProtection="1">
      <alignment horizontal="left"/>
      <protection locked="0"/>
    </xf>
    <xf numFmtId="49" fontId="8" fillId="2" borderId="8" xfId="0" applyNumberFormat="1" applyFont="1" applyFill="1" applyBorder="1" applyAlignment="1">
      <alignment horizontal="center"/>
    </xf>
    <xf numFmtId="164" fontId="0" fillId="0" borderId="0" xfId="0" applyNumberFormat="1" applyProtection="1">
      <protection locked="0"/>
    </xf>
    <xf numFmtId="0" fontId="1" fillId="0" borderId="3" xfId="0" applyFont="1" applyBorder="1" applyProtection="1">
      <protection locked="0"/>
    </xf>
    <xf numFmtId="0" fontId="0" fillId="0" borderId="28" xfId="0" applyBorder="1"/>
    <xf numFmtId="164" fontId="1" fillId="4" borderId="29" xfId="0" applyNumberFormat="1" applyFont="1" applyFill="1" applyBorder="1" applyProtection="1">
      <protection locked="0"/>
    </xf>
    <xf numFmtId="164" fontId="1" fillId="0" borderId="30" xfId="0" applyNumberFormat="1" applyFont="1" applyBorder="1" applyProtection="1">
      <protection locked="0"/>
    </xf>
    <xf numFmtId="164" fontId="1" fillId="0" borderId="30" xfId="0" applyNumberFormat="1" applyFont="1" applyBorder="1" applyAlignment="1" applyProtection="1">
      <alignment horizontal="right"/>
      <protection locked="0"/>
    </xf>
    <xf numFmtId="164" fontId="0" fillId="0" borderId="30" xfId="0" applyNumberFormat="1" applyBorder="1" applyProtection="1">
      <protection locked="0"/>
    </xf>
    <xf numFmtId="0" fontId="0" fillId="4" borderId="13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14" xfId="0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12" fillId="4" borderId="11" xfId="0" applyFont="1" applyFill="1" applyBorder="1" applyAlignment="1" applyProtection="1">
      <alignment horizontal="left"/>
      <protection locked="0"/>
    </xf>
    <xf numFmtId="0" fontId="12" fillId="4" borderId="0" xfId="0" applyFont="1" applyFill="1" applyAlignment="1" applyProtection="1">
      <alignment horizontal="left"/>
      <protection locked="0"/>
    </xf>
    <xf numFmtId="0" fontId="12" fillId="4" borderId="12" xfId="0" applyFont="1" applyFill="1" applyBorder="1" applyAlignment="1" applyProtection="1">
      <alignment horizontal="left"/>
      <protection locked="0"/>
    </xf>
    <xf numFmtId="0" fontId="4" fillId="4" borderId="9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4" borderId="1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4" fillId="4" borderId="11" xfId="0" applyFont="1" applyFill="1" applyBorder="1" applyAlignment="1" applyProtection="1">
      <alignment horizontal="left"/>
      <protection locked="0"/>
    </xf>
    <xf numFmtId="0" fontId="4" fillId="4" borderId="0" xfId="0" applyFont="1" applyFill="1" applyAlignment="1" applyProtection="1">
      <alignment horizontal="left"/>
      <protection locked="0"/>
    </xf>
    <xf numFmtId="0" fontId="4" fillId="4" borderId="12" xfId="0" applyFont="1" applyFill="1" applyBorder="1" applyAlignment="1" applyProtection="1">
      <alignment horizontal="left"/>
      <protection locked="0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3" borderId="9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1"/>
  <sheetViews>
    <sheetView tabSelected="1" zoomScaleNormal="100" workbookViewId="0">
      <pane xSplit="2" ySplit="6" topLeftCell="C39" activePane="bottomRight" state="frozen"/>
      <selection pane="topRight" activeCell="B1" sqref="B1"/>
      <selection pane="bottomLeft" activeCell="A7" sqref="A7"/>
      <selection pane="bottomRight" activeCell="B46" sqref="B46"/>
    </sheetView>
  </sheetViews>
  <sheetFormatPr defaultRowHeight="15" outlineLevelCol="1" x14ac:dyDescent="0.25"/>
  <cols>
    <col min="1" max="1" width="3.7109375" customWidth="1"/>
    <col min="2" max="2" width="45.42578125" customWidth="1"/>
    <col min="3" max="3" width="13.28515625" bestFit="1" customWidth="1"/>
    <col min="4" max="4" width="12.5703125" bestFit="1" customWidth="1"/>
    <col min="5" max="5" width="8.140625" bestFit="1" customWidth="1"/>
    <col min="6" max="6" width="11" bestFit="1" customWidth="1"/>
    <col min="7" max="7" width="16.85546875" bestFit="1" customWidth="1"/>
    <col min="8" max="8" width="13.5703125" customWidth="1"/>
    <col min="9" max="9" width="13.140625" bestFit="1" customWidth="1"/>
    <col min="10" max="10" width="11.5703125" bestFit="1" customWidth="1"/>
    <col min="11" max="11" width="12.85546875" bestFit="1" customWidth="1"/>
    <col min="12" max="12" width="10.7109375" bestFit="1" customWidth="1"/>
    <col min="13" max="13" width="10.7109375" customWidth="1"/>
    <col min="14" max="16" width="10.5703125" bestFit="1" customWidth="1"/>
    <col min="17" max="17" width="1.42578125" customWidth="1"/>
    <col min="18" max="18" width="15.85546875" customWidth="1" outlineLevel="1"/>
  </cols>
  <sheetData>
    <row r="1" spans="1:19" ht="16.5" x14ac:dyDescent="0.25">
      <c r="B1" s="71" t="s">
        <v>49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19" ht="16.5" x14ac:dyDescent="0.25">
      <c r="B2" s="71" t="s">
        <v>50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spans="1:19" ht="4.5" customHeight="1" thickBot="1" x14ac:dyDescent="0.3"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1:19" ht="19.5" thickBot="1" x14ac:dyDescent="0.35">
      <c r="B4" s="47" t="s">
        <v>88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9" x14ac:dyDescent="0.25">
      <c r="B5" s="73" t="s">
        <v>48</v>
      </c>
      <c r="C5" s="75" t="s">
        <v>38</v>
      </c>
      <c r="D5" s="79" t="s">
        <v>62</v>
      </c>
      <c r="E5" s="75" t="s">
        <v>39</v>
      </c>
      <c r="F5" s="75" t="s">
        <v>63</v>
      </c>
      <c r="G5" s="40" t="s">
        <v>64</v>
      </c>
      <c r="H5" s="41" t="s">
        <v>66</v>
      </c>
      <c r="I5" s="20" t="s">
        <v>51</v>
      </c>
      <c r="J5" s="8" t="s">
        <v>71</v>
      </c>
      <c r="K5" s="20" t="s">
        <v>40</v>
      </c>
      <c r="L5" s="77" t="s">
        <v>42</v>
      </c>
      <c r="M5" s="75" t="s">
        <v>43</v>
      </c>
      <c r="N5" s="20" t="s">
        <v>44</v>
      </c>
      <c r="O5" s="8" t="s">
        <v>46</v>
      </c>
      <c r="P5" s="22" t="s">
        <v>40</v>
      </c>
    </row>
    <row r="6" spans="1:19" ht="15.75" thickBot="1" x14ac:dyDescent="0.3">
      <c r="B6" s="74"/>
      <c r="C6" s="76"/>
      <c r="D6" s="80"/>
      <c r="E6" s="76"/>
      <c r="F6" s="76"/>
      <c r="G6" s="42" t="s">
        <v>65</v>
      </c>
      <c r="H6" s="43" t="s">
        <v>53</v>
      </c>
      <c r="I6" s="21" t="s">
        <v>52</v>
      </c>
      <c r="J6" s="9" t="s">
        <v>72</v>
      </c>
      <c r="K6" s="21" t="s">
        <v>41</v>
      </c>
      <c r="L6" s="78"/>
      <c r="M6" s="76"/>
      <c r="N6" s="21" t="s">
        <v>45</v>
      </c>
      <c r="O6" s="9" t="s">
        <v>45</v>
      </c>
      <c r="P6" s="23" t="s">
        <v>47</v>
      </c>
    </row>
    <row r="7" spans="1:19" x14ac:dyDescent="0.25">
      <c r="A7" s="45">
        <v>1</v>
      </c>
      <c r="B7" s="16" t="s">
        <v>0</v>
      </c>
      <c r="C7" s="14">
        <f>5947.23+2295.58+710.73</f>
        <v>8953.5399999999991</v>
      </c>
      <c r="D7" s="27">
        <v>2936.92</v>
      </c>
      <c r="E7" s="27"/>
      <c r="F7" s="27"/>
      <c r="G7" s="27"/>
      <c r="H7" s="27"/>
      <c r="I7" s="30"/>
      <c r="J7" s="30"/>
      <c r="K7" s="12">
        <f t="shared" ref="K7:K15" si="0">SUM(C7:I7)</f>
        <v>11890.46</v>
      </c>
      <c r="L7" s="3">
        <v>2159.2800000000002</v>
      </c>
      <c r="M7" s="3">
        <f>379.63+497.59</f>
        <v>877.22</v>
      </c>
      <c r="N7" s="2">
        <f t="shared" ref="N7:N14" si="1">K7-L7-M7-R7</f>
        <v>42.049999999999272</v>
      </c>
      <c r="O7" s="2">
        <f t="shared" ref="O7:O65" si="2">SUM(L7:N7)</f>
        <v>3078.5499999999993</v>
      </c>
      <c r="P7" s="18">
        <f t="shared" ref="P7:P65" si="3">SUM(K7-O7)</f>
        <v>8811.91</v>
      </c>
      <c r="Q7" s="24"/>
      <c r="R7" s="25">
        <v>8811.91</v>
      </c>
    </row>
    <row r="8" spans="1:19" x14ac:dyDescent="0.25">
      <c r="A8" s="45">
        <v>2</v>
      </c>
      <c r="B8" s="16" t="s">
        <v>1</v>
      </c>
      <c r="C8" s="14">
        <f>2355.89+212.03</f>
        <v>2567.92</v>
      </c>
      <c r="D8" s="27"/>
      <c r="E8" s="27"/>
      <c r="F8" s="27">
        <f>471.18+42.41+171.2</f>
        <v>684.79</v>
      </c>
      <c r="G8" s="27">
        <f>942.36+84.81+342.39</f>
        <v>1369.56</v>
      </c>
      <c r="H8" s="27">
        <f>1413.54+127.22</f>
        <v>1540.76</v>
      </c>
      <c r="I8" s="30"/>
      <c r="J8" s="30"/>
      <c r="K8" s="12">
        <f t="shared" si="0"/>
        <v>6163.0300000000007</v>
      </c>
      <c r="L8" s="3">
        <v>17.399999999999999</v>
      </c>
      <c r="M8" s="3">
        <f>242.3+51.35</f>
        <v>293.65000000000003</v>
      </c>
      <c r="N8" s="2">
        <f t="shared" si="1"/>
        <v>5325.7000000000016</v>
      </c>
      <c r="O8" s="2">
        <f t="shared" si="2"/>
        <v>5636.7500000000018</v>
      </c>
      <c r="P8" s="18">
        <f t="shared" si="3"/>
        <v>526.27999999999884</v>
      </c>
      <c r="Q8" s="24"/>
      <c r="R8" s="25">
        <v>526.28</v>
      </c>
    </row>
    <row r="9" spans="1:19" x14ac:dyDescent="0.25">
      <c r="A9" s="45">
        <v>3</v>
      </c>
      <c r="B9" s="16" t="s">
        <v>57</v>
      </c>
      <c r="C9" s="14">
        <f>1892.72+155.82</f>
        <v>2048.54</v>
      </c>
      <c r="D9" s="27">
        <v>1223.73</v>
      </c>
      <c r="E9" s="27"/>
      <c r="F9" s="27">
        <f>244.74+378.54+31.16+218.15</f>
        <v>872.58999999999992</v>
      </c>
      <c r="G9" s="27"/>
      <c r="H9" s="27"/>
      <c r="I9" s="30"/>
      <c r="J9" s="30"/>
      <c r="K9" s="12">
        <f t="shared" si="0"/>
        <v>4144.8599999999997</v>
      </c>
      <c r="L9" s="3">
        <v>84.89</v>
      </c>
      <c r="M9" s="3">
        <f>341.01+65.44</f>
        <v>406.45</v>
      </c>
      <c r="N9" s="2">
        <f t="shared" si="1"/>
        <v>925.0300000000002</v>
      </c>
      <c r="O9" s="2">
        <f t="shared" si="2"/>
        <v>1416.3700000000001</v>
      </c>
      <c r="P9" s="18">
        <f t="shared" si="3"/>
        <v>2728.49</v>
      </c>
      <c r="Q9" s="24"/>
      <c r="R9" s="25">
        <v>2728.49</v>
      </c>
    </row>
    <row r="10" spans="1:19" x14ac:dyDescent="0.25">
      <c r="A10" s="45">
        <v>4</v>
      </c>
      <c r="B10" s="16" t="s">
        <v>75</v>
      </c>
      <c r="C10" s="14">
        <f>4659.14+55.91</f>
        <v>4715.05</v>
      </c>
      <c r="D10" s="27">
        <v>931.83</v>
      </c>
      <c r="E10" s="27"/>
      <c r="F10" s="27"/>
      <c r="G10" s="27"/>
      <c r="H10" s="27"/>
      <c r="I10" s="30"/>
      <c r="J10" s="30"/>
      <c r="K10" s="12">
        <f t="shared" ref="K10:K11" si="4">SUM(C10:I10)</f>
        <v>5646.88</v>
      </c>
      <c r="L10" s="3">
        <v>513.92999999999995</v>
      </c>
      <c r="M10" s="3">
        <v>616.74</v>
      </c>
      <c r="N10" s="2">
        <f t="shared" ref="N10:N11" si="5">K10-L10-M10-R10</f>
        <v>42.050000000000182</v>
      </c>
      <c r="O10" s="2">
        <f t="shared" ref="O10:O11" si="6">SUM(L10:N10)</f>
        <v>1172.7200000000003</v>
      </c>
      <c r="P10" s="18">
        <f t="shared" ref="P10:P11" si="7">SUM(K10-O10)</f>
        <v>4474.16</v>
      </c>
      <c r="Q10" s="24"/>
      <c r="R10" s="25">
        <v>4474.16</v>
      </c>
    </row>
    <row r="11" spans="1:19" x14ac:dyDescent="0.25">
      <c r="A11" s="45">
        <v>5</v>
      </c>
      <c r="B11" s="16" t="s">
        <v>80</v>
      </c>
      <c r="C11" s="14">
        <v>3167.54</v>
      </c>
      <c r="D11" s="27"/>
      <c r="E11" s="27"/>
      <c r="F11" s="27"/>
      <c r="G11" s="27"/>
      <c r="H11" s="27"/>
      <c r="I11" s="30"/>
      <c r="J11" s="30"/>
      <c r="K11" s="12">
        <f t="shared" si="4"/>
        <v>3167.54</v>
      </c>
      <c r="L11" s="3">
        <v>77.819999999999993</v>
      </c>
      <c r="M11" s="3">
        <v>283.43</v>
      </c>
      <c r="N11" s="2">
        <f t="shared" si="5"/>
        <v>197.15999999999985</v>
      </c>
      <c r="O11" s="2">
        <f t="shared" si="6"/>
        <v>558.40999999999985</v>
      </c>
      <c r="P11" s="18">
        <f t="shared" si="7"/>
        <v>2609.13</v>
      </c>
      <c r="Q11" s="24"/>
      <c r="R11" s="25">
        <v>2609.13</v>
      </c>
    </row>
    <row r="12" spans="1:19" x14ac:dyDescent="0.25">
      <c r="A12" s="45">
        <v>6</v>
      </c>
      <c r="B12" s="16" t="s">
        <v>2</v>
      </c>
      <c r="C12" s="14">
        <f>2922.46+379.92</f>
        <v>3302.38</v>
      </c>
      <c r="D12" s="27"/>
      <c r="E12" s="27"/>
      <c r="F12" s="27"/>
      <c r="G12" s="27"/>
      <c r="H12" s="27"/>
      <c r="I12" s="30"/>
      <c r="J12" s="30"/>
      <c r="K12" s="12">
        <f t="shared" si="0"/>
        <v>3302.38</v>
      </c>
      <c r="L12" s="3">
        <v>95.62</v>
      </c>
      <c r="M12" s="3">
        <v>299.61</v>
      </c>
      <c r="N12" s="2">
        <f t="shared" si="1"/>
        <v>1206.0900000000001</v>
      </c>
      <c r="O12" s="2">
        <f t="shared" si="2"/>
        <v>1601.3200000000002</v>
      </c>
      <c r="P12" s="18">
        <f>SUM(K12-O12)+H12</f>
        <v>1701.06</v>
      </c>
      <c r="Q12" s="24"/>
      <c r="R12" s="25">
        <v>1701.06</v>
      </c>
      <c r="S12" s="1"/>
    </row>
    <row r="13" spans="1:19" x14ac:dyDescent="0.25">
      <c r="A13" s="45">
        <v>7</v>
      </c>
      <c r="B13" s="16" t="s">
        <v>3</v>
      </c>
      <c r="C13" s="14">
        <f>1281.84+333.28</f>
        <v>1615.12</v>
      </c>
      <c r="D13" s="27"/>
      <c r="E13" s="27"/>
      <c r="F13" s="27">
        <f>2214.1+575.66+929.92</f>
        <v>3719.68</v>
      </c>
      <c r="G13" s="27"/>
      <c r="H13" s="27"/>
      <c r="I13" s="30"/>
      <c r="J13" s="30"/>
      <c r="K13" s="12">
        <f t="shared" si="0"/>
        <v>5334.7999999999993</v>
      </c>
      <c r="L13" s="3">
        <v>176.37</v>
      </c>
      <c r="M13" s="3">
        <f>217.43+355.62</f>
        <v>573.04999999999995</v>
      </c>
      <c r="N13" s="2">
        <f t="shared" si="1"/>
        <v>4161.2499999999991</v>
      </c>
      <c r="O13" s="2">
        <f t="shared" si="2"/>
        <v>4910.6699999999992</v>
      </c>
      <c r="P13" s="18">
        <f t="shared" si="3"/>
        <v>424.13000000000011</v>
      </c>
      <c r="Q13" s="24"/>
      <c r="R13" s="25">
        <v>424.13</v>
      </c>
    </row>
    <row r="14" spans="1:19" x14ac:dyDescent="0.25">
      <c r="A14" s="45">
        <v>8</v>
      </c>
      <c r="B14" s="16" t="s">
        <v>73</v>
      </c>
      <c r="C14" s="14">
        <f>4659.14+55.91</f>
        <v>4715.05</v>
      </c>
      <c r="D14" s="27">
        <v>931.83</v>
      </c>
      <c r="E14" s="27"/>
      <c r="F14" s="27"/>
      <c r="G14" s="27"/>
      <c r="H14" s="27"/>
      <c r="I14" s="30"/>
      <c r="J14" s="30"/>
      <c r="K14" s="12">
        <f t="shared" si="0"/>
        <v>5646.88</v>
      </c>
      <c r="L14" s="3">
        <v>513.92999999999995</v>
      </c>
      <c r="M14" s="3">
        <v>616.74</v>
      </c>
      <c r="N14" s="2">
        <f t="shared" si="1"/>
        <v>7.1099999999996726</v>
      </c>
      <c r="O14" s="2">
        <f t="shared" si="2"/>
        <v>1137.7799999999997</v>
      </c>
      <c r="P14" s="18">
        <f t="shared" si="3"/>
        <v>4509.1000000000004</v>
      </c>
      <c r="Q14" s="24"/>
      <c r="R14" s="25">
        <v>4509.1000000000004</v>
      </c>
    </row>
    <row r="15" spans="1:19" x14ac:dyDescent="0.25">
      <c r="A15" s="45">
        <v>9</v>
      </c>
      <c r="B15" s="16" t="s">
        <v>4</v>
      </c>
      <c r="C15" s="14">
        <f>13962.05+7330.08</f>
        <v>21292.129999999997</v>
      </c>
      <c r="D15" s="27">
        <f>1396.21+5584.82</f>
        <v>6981.03</v>
      </c>
      <c r="E15" s="27"/>
      <c r="F15" s="27"/>
      <c r="G15" s="27"/>
      <c r="H15" s="27"/>
      <c r="I15" s="30"/>
      <c r="J15" s="30"/>
      <c r="K15" s="12">
        <f t="shared" si="0"/>
        <v>28273.159999999996</v>
      </c>
      <c r="L15" s="3">
        <v>6664.52</v>
      </c>
      <c r="M15" s="3">
        <f>789.5+87.72</f>
        <v>877.22</v>
      </c>
      <c r="N15" s="2">
        <f>K15-L15-M15-R15</f>
        <v>343.47999999999593</v>
      </c>
      <c r="O15" s="2">
        <f t="shared" si="2"/>
        <v>7885.2199999999966</v>
      </c>
      <c r="P15" s="18">
        <f t="shared" si="3"/>
        <v>20387.939999999999</v>
      </c>
      <c r="Q15" s="24"/>
      <c r="R15" s="25">
        <v>20387.939999999999</v>
      </c>
    </row>
    <row r="16" spans="1:19" x14ac:dyDescent="0.25">
      <c r="A16" s="45">
        <v>10</v>
      </c>
      <c r="B16" s="16" t="s">
        <v>5</v>
      </c>
      <c r="C16" s="14">
        <f>13962.05+4495.78</f>
        <v>18457.829999999998</v>
      </c>
      <c r="D16" s="27">
        <v>5584.82</v>
      </c>
      <c r="E16" s="27"/>
      <c r="F16" s="49"/>
      <c r="G16" s="27"/>
      <c r="H16" s="27"/>
      <c r="I16" s="30"/>
      <c r="J16" s="30"/>
      <c r="K16" s="12">
        <f t="shared" ref="K16:K33" si="8">SUM(C16:I16)</f>
        <v>24042.649999999998</v>
      </c>
      <c r="L16" s="3">
        <v>5501.13</v>
      </c>
      <c r="M16" s="3">
        <f>48.84+828.38</f>
        <v>877.22</v>
      </c>
      <c r="N16" s="2">
        <f t="shared" ref="N16:N43" si="9">K16-L16-M16-R16</f>
        <v>108.18999999999505</v>
      </c>
      <c r="O16" s="2">
        <f t="shared" si="2"/>
        <v>6486.5399999999954</v>
      </c>
      <c r="P16" s="18">
        <f t="shared" si="3"/>
        <v>17556.11</v>
      </c>
      <c r="Q16" s="24"/>
      <c r="R16" s="25">
        <v>17556.11</v>
      </c>
    </row>
    <row r="17" spans="1:18" x14ac:dyDescent="0.25">
      <c r="A17" s="45">
        <v>11</v>
      </c>
      <c r="B17" s="16" t="s">
        <v>6</v>
      </c>
      <c r="C17" s="14">
        <f>2771.37+423.98</f>
        <v>3195.35</v>
      </c>
      <c r="D17" s="27">
        <v>1468.47</v>
      </c>
      <c r="E17" s="27"/>
      <c r="F17" s="44"/>
      <c r="G17" s="4"/>
      <c r="H17" s="27"/>
      <c r="I17" s="30"/>
      <c r="J17" s="30"/>
      <c r="K17" s="12">
        <f t="shared" si="8"/>
        <v>4663.82</v>
      </c>
      <c r="L17" s="3">
        <v>305.43</v>
      </c>
      <c r="M17" s="3">
        <v>479.11</v>
      </c>
      <c r="N17" s="2">
        <f t="shared" si="9"/>
        <v>20.969999999999345</v>
      </c>
      <c r="O17" s="2">
        <f t="shared" si="2"/>
        <v>805.50999999999931</v>
      </c>
      <c r="P17" s="18">
        <f t="shared" si="3"/>
        <v>3858.3100000000004</v>
      </c>
      <c r="Q17" s="24"/>
      <c r="R17" s="25">
        <v>3858.31</v>
      </c>
    </row>
    <row r="18" spans="1:18" x14ac:dyDescent="0.25">
      <c r="A18" s="45">
        <v>12</v>
      </c>
      <c r="B18" s="16" t="s">
        <v>7</v>
      </c>
      <c r="C18" s="14">
        <f>737.32+206.45</f>
        <v>943.77</v>
      </c>
      <c r="D18" s="27"/>
      <c r="E18" s="27"/>
      <c r="F18" s="27">
        <f>1474.65+412.9+629.18</f>
        <v>2516.73</v>
      </c>
      <c r="G18" s="27"/>
      <c r="H18" s="27">
        <f>1105.98+309.67</f>
        <v>1415.65</v>
      </c>
      <c r="I18" s="30"/>
      <c r="J18" s="30"/>
      <c r="K18" s="12">
        <f t="shared" si="8"/>
        <v>4876.1499999999996</v>
      </c>
      <c r="L18" s="3">
        <v>30.43</v>
      </c>
      <c r="M18" s="3">
        <f>111.61+206.97</f>
        <v>318.58</v>
      </c>
      <c r="N18" s="2">
        <f t="shared" si="9"/>
        <v>4120.579999999999</v>
      </c>
      <c r="O18" s="2">
        <f t="shared" si="2"/>
        <v>4469.5899999999992</v>
      </c>
      <c r="P18" s="18">
        <f t="shared" si="3"/>
        <v>406.5600000000004</v>
      </c>
      <c r="Q18" s="24"/>
      <c r="R18" s="25">
        <v>406.56</v>
      </c>
    </row>
    <row r="19" spans="1:18" x14ac:dyDescent="0.25">
      <c r="A19" s="45">
        <v>13</v>
      </c>
      <c r="B19" s="16" t="s">
        <v>60</v>
      </c>
      <c r="C19" s="14">
        <v>3360.46</v>
      </c>
      <c r="D19" s="27">
        <v>73.42</v>
      </c>
      <c r="E19" s="27"/>
      <c r="F19" s="27"/>
      <c r="G19" s="27"/>
      <c r="H19" s="27"/>
      <c r="I19" s="30"/>
      <c r="J19" s="30"/>
      <c r="K19" s="12">
        <f t="shared" si="8"/>
        <v>3433.88</v>
      </c>
      <c r="L19" s="3">
        <v>84.53</v>
      </c>
      <c r="M19" s="3">
        <v>315.39</v>
      </c>
      <c r="N19" s="2">
        <f t="shared" si="9"/>
        <v>7.1100000000001273</v>
      </c>
      <c r="O19" s="2">
        <f t="shared" si="2"/>
        <v>407.03000000000009</v>
      </c>
      <c r="P19" s="18">
        <f t="shared" si="3"/>
        <v>3026.85</v>
      </c>
      <c r="Q19" s="24"/>
      <c r="R19" s="25">
        <v>3026.85</v>
      </c>
    </row>
    <row r="20" spans="1:18" x14ac:dyDescent="0.25">
      <c r="A20" s="45">
        <v>14</v>
      </c>
      <c r="B20" s="16" t="s">
        <v>8</v>
      </c>
      <c r="C20" s="14">
        <f>5915.87+1416.45</f>
        <v>7332.32</v>
      </c>
      <c r="D20" s="27">
        <v>2936.92</v>
      </c>
      <c r="E20" s="27"/>
      <c r="F20" s="27"/>
      <c r="G20" s="27"/>
      <c r="H20" s="27"/>
      <c r="I20" s="30"/>
      <c r="J20" s="30"/>
      <c r="K20" s="12">
        <f t="shared" si="8"/>
        <v>10269.24</v>
      </c>
      <c r="L20" s="3">
        <v>1557.03</v>
      </c>
      <c r="M20" s="3">
        <f>48.84+828.38</f>
        <v>877.22</v>
      </c>
      <c r="N20" s="2">
        <f t="shared" si="9"/>
        <v>615.83999999999924</v>
      </c>
      <c r="O20" s="2">
        <f t="shared" si="2"/>
        <v>3050.0899999999992</v>
      </c>
      <c r="P20" s="18">
        <f t="shared" si="3"/>
        <v>7219.1500000000005</v>
      </c>
      <c r="Q20" s="24"/>
      <c r="R20" s="25">
        <v>7219.15</v>
      </c>
    </row>
    <row r="21" spans="1:18" x14ac:dyDescent="0.25">
      <c r="A21" s="45">
        <v>15</v>
      </c>
      <c r="B21" s="16" t="s">
        <v>89</v>
      </c>
      <c r="C21" s="14">
        <v>855.85</v>
      </c>
      <c r="D21" s="27"/>
      <c r="E21" s="27"/>
      <c r="F21" s="27"/>
      <c r="G21" s="27"/>
      <c r="H21" s="27"/>
      <c r="I21" s="30"/>
      <c r="J21" s="30"/>
      <c r="K21" s="12">
        <f t="shared" ref="K21" si="10">SUM(C21:I21)</f>
        <v>855.85</v>
      </c>
      <c r="L21" s="3"/>
      <c r="M21" s="3">
        <v>64.180000000000007</v>
      </c>
      <c r="N21" s="2">
        <f t="shared" ref="N21" si="11">K21-L21-M21-R21</f>
        <v>2.7800000000000864</v>
      </c>
      <c r="O21" s="2">
        <f t="shared" ref="O21" si="12">SUM(L21:N21)</f>
        <v>66.960000000000093</v>
      </c>
      <c r="P21" s="18">
        <f t="shared" ref="P21" si="13">SUM(K21-O21)</f>
        <v>788.88999999999987</v>
      </c>
      <c r="Q21" s="24"/>
      <c r="R21" s="25">
        <v>788.89</v>
      </c>
    </row>
    <row r="22" spans="1:18" x14ac:dyDescent="0.25">
      <c r="A22" s="45">
        <v>16</v>
      </c>
      <c r="B22" s="16" t="s">
        <v>9</v>
      </c>
      <c r="C22" s="14">
        <f>2771.37+277.14</f>
        <v>3048.5099999999998</v>
      </c>
      <c r="D22" s="27"/>
      <c r="E22" s="27"/>
      <c r="F22" s="27"/>
      <c r="G22" s="27"/>
      <c r="H22" s="27"/>
      <c r="I22" s="30"/>
      <c r="J22" s="30"/>
      <c r="K22" s="12">
        <f t="shared" si="8"/>
        <v>3048.5099999999998</v>
      </c>
      <c r="L22" s="3">
        <v>65.650000000000006</v>
      </c>
      <c r="M22" s="3">
        <v>269.14</v>
      </c>
      <c r="N22" s="2">
        <f t="shared" si="9"/>
        <v>7.1099999999996726</v>
      </c>
      <c r="O22" s="2">
        <f t="shared" si="2"/>
        <v>341.89999999999964</v>
      </c>
      <c r="P22" s="18">
        <f t="shared" si="3"/>
        <v>2706.61</v>
      </c>
      <c r="Q22" s="24"/>
      <c r="R22" s="25">
        <v>2706.61</v>
      </c>
    </row>
    <row r="23" spans="1:18" x14ac:dyDescent="0.25">
      <c r="A23" s="45">
        <v>17</v>
      </c>
      <c r="B23" s="16" t="s">
        <v>81</v>
      </c>
      <c r="C23" s="14">
        <v>3167.54</v>
      </c>
      <c r="D23" s="27"/>
      <c r="E23" s="27"/>
      <c r="F23" s="27"/>
      <c r="G23" s="27"/>
      <c r="H23" s="27"/>
      <c r="I23" s="30"/>
      <c r="J23" s="30"/>
      <c r="K23" s="12">
        <f t="shared" si="8"/>
        <v>3167.54</v>
      </c>
      <c r="L23" s="3">
        <v>77.819999999999993</v>
      </c>
      <c r="M23" s="3">
        <v>283.43</v>
      </c>
      <c r="N23" s="2">
        <f t="shared" ref="N23" si="14">K23-L23-M23-R23</f>
        <v>7.1100000000001273</v>
      </c>
      <c r="O23" s="2">
        <f t="shared" ref="O23" si="15">SUM(L23:N23)</f>
        <v>368.36000000000013</v>
      </c>
      <c r="P23" s="18">
        <f t="shared" ref="P23" si="16">SUM(K23-O23)</f>
        <v>2799.18</v>
      </c>
      <c r="Q23" s="24"/>
      <c r="R23" s="25">
        <v>2799.18</v>
      </c>
    </row>
    <row r="24" spans="1:18" x14ac:dyDescent="0.25">
      <c r="A24" s="45">
        <v>18</v>
      </c>
      <c r="B24" s="16" t="s">
        <v>82</v>
      </c>
      <c r="C24" s="14">
        <v>142.63999999999999</v>
      </c>
      <c r="D24" s="27"/>
      <c r="E24" s="27"/>
      <c r="F24" s="27">
        <f>178.3+59.43</f>
        <v>237.73000000000002</v>
      </c>
      <c r="G24" s="27"/>
      <c r="H24" s="27">
        <v>178.3</v>
      </c>
      <c r="I24" s="30"/>
      <c r="J24" s="30"/>
      <c r="K24" s="12">
        <f t="shared" si="8"/>
        <v>558.67000000000007</v>
      </c>
      <c r="L24" s="3"/>
      <c r="M24" s="3">
        <f>10.69+13.37</f>
        <v>24.06</v>
      </c>
      <c r="N24" s="2">
        <f t="shared" ref="N24" si="17">K24-L24-M24-R24</f>
        <v>890.36000000000013</v>
      </c>
      <c r="O24" s="2">
        <f t="shared" ref="O24" si="18">SUM(L24:N24)</f>
        <v>914.42000000000007</v>
      </c>
      <c r="P24" s="18">
        <f t="shared" ref="P24" si="19">SUM(K24-O24)</f>
        <v>-355.75</v>
      </c>
      <c r="Q24" s="24"/>
      <c r="R24" s="25">
        <v>-355.75</v>
      </c>
    </row>
    <row r="25" spans="1:18" x14ac:dyDescent="0.25">
      <c r="A25" s="45">
        <v>19</v>
      </c>
      <c r="B25" s="16" t="s">
        <v>10</v>
      </c>
      <c r="C25" s="14">
        <f>15270.08+9330.02</f>
        <v>24600.1</v>
      </c>
      <c r="D25" s="27">
        <v>20614.61</v>
      </c>
      <c r="E25" s="27"/>
      <c r="F25" s="27"/>
      <c r="G25" s="27"/>
      <c r="H25" s="27"/>
      <c r="I25" s="30"/>
      <c r="J25" s="30"/>
      <c r="K25" s="12">
        <f t="shared" si="8"/>
        <v>45214.71</v>
      </c>
      <c r="L25" s="3">
        <v>9695.07</v>
      </c>
      <c r="M25" s="3">
        <f>48.84+828.38</f>
        <v>877.22</v>
      </c>
      <c r="N25" s="2">
        <f t="shared" si="9"/>
        <v>6243.07</v>
      </c>
      <c r="O25" s="2">
        <f t="shared" si="2"/>
        <v>16815.36</v>
      </c>
      <c r="P25" s="18">
        <f t="shared" si="3"/>
        <v>28399.35</v>
      </c>
      <c r="Q25" s="24"/>
      <c r="R25" s="25">
        <v>28399.35</v>
      </c>
    </row>
    <row r="26" spans="1:18" x14ac:dyDescent="0.25">
      <c r="A26" s="45">
        <v>20</v>
      </c>
      <c r="B26" s="16" t="s">
        <v>11</v>
      </c>
      <c r="C26" s="14">
        <f>13962.05+4691.25</f>
        <v>18653.3</v>
      </c>
      <c r="D26" s="27">
        <v>2792.41</v>
      </c>
      <c r="E26" s="27"/>
      <c r="F26" s="27"/>
      <c r="G26" s="27">
        <f>186.16+930.8+312.75+476.57</f>
        <v>1906.28</v>
      </c>
      <c r="H26" s="27"/>
      <c r="I26" s="30"/>
      <c r="J26" s="30"/>
      <c r="K26" s="12">
        <f t="shared" si="8"/>
        <v>23351.989999999998</v>
      </c>
      <c r="L26" s="3">
        <v>4734.84</v>
      </c>
      <c r="M26" s="3">
        <v>877.22</v>
      </c>
      <c r="N26" s="2">
        <f t="shared" si="9"/>
        <v>4301.2199999999975</v>
      </c>
      <c r="O26" s="2">
        <f t="shared" si="2"/>
        <v>9913.2799999999988</v>
      </c>
      <c r="P26" s="18">
        <f t="shared" si="3"/>
        <v>13438.71</v>
      </c>
      <c r="Q26" s="24"/>
      <c r="R26" s="25">
        <v>13438.71</v>
      </c>
    </row>
    <row r="27" spans="1:18" x14ac:dyDescent="0.25">
      <c r="A27" s="45">
        <v>21</v>
      </c>
      <c r="B27" s="16" t="s">
        <v>12</v>
      </c>
      <c r="C27" s="14">
        <v>7617.74</v>
      </c>
      <c r="D27" s="27">
        <v>500</v>
      </c>
      <c r="E27" s="27"/>
      <c r="F27" s="27"/>
      <c r="G27" s="27"/>
      <c r="H27" s="27"/>
      <c r="I27" s="30"/>
      <c r="J27" s="30"/>
      <c r="K27" s="12">
        <f t="shared" si="8"/>
        <v>8117.74</v>
      </c>
      <c r="L27" s="3">
        <v>1050.51</v>
      </c>
      <c r="M27" s="3">
        <f>330.06+547.16</f>
        <v>877.22</v>
      </c>
      <c r="N27" s="2">
        <f t="shared" si="9"/>
        <v>1941.329999999999</v>
      </c>
      <c r="O27" s="2">
        <f t="shared" si="2"/>
        <v>3869.059999999999</v>
      </c>
      <c r="P27" s="18">
        <f t="shared" si="3"/>
        <v>4248.68</v>
      </c>
      <c r="Q27" s="24"/>
      <c r="R27" s="25">
        <v>4248.68</v>
      </c>
    </row>
    <row r="28" spans="1:18" x14ac:dyDescent="0.25">
      <c r="A28" s="45">
        <v>22</v>
      </c>
      <c r="B28" s="16" t="s">
        <v>54</v>
      </c>
      <c r="C28" s="14">
        <v>3530.53</v>
      </c>
      <c r="D28" s="27"/>
      <c r="E28" s="27"/>
      <c r="F28" s="27"/>
      <c r="G28" s="27"/>
      <c r="H28" s="27"/>
      <c r="I28" s="30"/>
      <c r="J28" s="30"/>
      <c r="K28" s="12">
        <f t="shared" si="8"/>
        <v>3530.53</v>
      </c>
      <c r="L28" s="3">
        <v>125.73</v>
      </c>
      <c r="M28" s="3">
        <v>326.98</v>
      </c>
      <c r="N28" s="2">
        <f t="shared" si="9"/>
        <v>38.309999999999945</v>
      </c>
      <c r="O28" s="2">
        <f t="shared" si="2"/>
        <v>491.02</v>
      </c>
      <c r="P28" s="18">
        <f t="shared" si="3"/>
        <v>3039.51</v>
      </c>
      <c r="Q28" s="24"/>
      <c r="R28" s="25">
        <v>3039.51</v>
      </c>
    </row>
    <row r="29" spans="1:18" x14ac:dyDescent="0.25">
      <c r="A29" s="45">
        <v>23</v>
      </c>
      <c r="B29" s="16" t="s">
        <v>78</v>
      </c>
      <c r="C29" s="14"/>
      <c r="D29" s="27"/>
      <c r="E29" s="27"/>
      <c r="F29" s="27">
        <f>2792.41+13962.05+4691.25+7148.56</f>
        <v>28594.27</v>
      </c>
      <c r="G29" s="27"/>
      <c r="H29" s="27"/>
      <c r="I29" s="30"/>
      <c r="J29" s="30"/>
      <c r="K29" s="12">
        <f t="shared" si="8"/>
        <v>28594.27</v>
      </c>
      <c r="L29" s="3">
        <v>6700.69</v>
      </c>
      <c r="M29" s="3">
        <v>877.22</v>
      </c>
      <c r="N29" s="2">
        <f t="shared" si="9"/>
        <v>21016.36</v>
      </c>
      <c r="O29" s="2">
        <f t="shared" si="2"/>
        <v>28594.27</v>
      </c>
      <c r="P29" s="18">
        <f t="shared" si="3"/>
        <v>0</v>
      </c>
      <c r="Q29" s="24"/>
      <c r="R29" s="25">
        <v>0</v>
      </c>
    </row>
    <row r="30" spans="1:18" x14ac:dyDescent="0.25">
      <c r="A30" s="45">
        <v>24</v>
      </c>
      <c r="B30" s="16" t="s">
        <v>13</v>
      </c>
      <c r="C30" s="14">
        <f>1228.67+982.93+1843</f>
        <v>4054.6</v>
      </c>
      <c r="D30" s="27"/>
      <c r="E30" s="27"/>
      <c r="F30" s="27">
        <f>3071.67+982.93+1351.53</f>
        <v>5406.13</v>
      </c>
      <c r="G30" s="27"/>
      <c r="H30" s="27">
        <f>3071.67+982.93</f>
        <v>4054.6</v>
      </c>
      <c r="I30" s="30"/>
      <c r="J30" s="30"/>
      <c r="K30" s="12">
        <f t="shared" si="8"/>
        <v>13515.33</v>
      </c>
      <c r="L30" s="3">
        <f>180.82+406.41</f>
        <v>587.23</v>
      </c>
      <c r="M30" s="3">
        <v>877.22</v>
      </c>
      <c r="N30" s="2">
        <f t="shared" si="9"/>
        <v>10145.570000000002</v>
      </c>
      <c r="O30" s="2">
        <f t="shared" si="2"/>
        <v>11610.020000000002</v>
      </c>
      <c r="P30" s="18">
        <f>SUM(K30-O30)+H30</f>
        <v>5959.909999999998</v>
      </c>
      <c r="Q30" s="24"/>
      <c r="R30" s="25">
        <v>1905.31</v>
      </c>
    </row>
    <row r="31" spans="1:18" x14ac:dyDescent="0.25">
      <c r="A31" s="45">
        <v>25</v>
      </c>
      <c r="B31" s="16" t="s">
        <v>14</v>
      </c>
      <c r="C31" s="14">
        <f>8177.52+654.2</f>
        <v>8831.7200000000012</v>
      </c>
      <c r="D31" s="27"/>
      <c r="E31" s="27"/>
      <c r="F31" s="27"/>
      <c r="G31" s="27"/>
      <c r="H31" s="27"/>
      <c r="I31" s="30"/>
      <c r="J31" s="30"/>
      <c r="K31" s="12">
        <f t="shared" si="8"/>
        <v>8831.7200000000012</v>
      </c>
      <c r="L31" s="3">
        <v>1318.13</v>
      </c>
      <c r="M31" s="3">
        <f>436.57+440.65</f>
        <v>877.22</v>
      </c>
      <c r="N31" s="2">
        <f t="shared" si="9"/>
        <v>7.1100000000005821</v>
      </c>
      <c r="O31" s="2">
        <f t="shared" si="2"/>
        <v>2202.4600000000009</v>
      </c>
      <c r="P31" s="18">
        <f t="shared" si="3"/>
        <v>6629.26</v>
      </c>
      <c r="Q31" s="24"/>
      <c r="R31" s="25">
        <v>6629.26</v>
      </c>
    </row>
    <row r="32" spans="1:18" x14ac:dyDescent="0.25">
      <c r="A32" s="45">
        <v>26</v>
      </c>
      <c r="B32" s="16" t="s">
        <v>15</v>
      </c>
      <c r="C32" s="14">
        <f>2817.17+828.08</f>
        <v>3645.25</v>
      </c>
      <c r="D32" s="27">
        <v>783.18</v>
      </c>
      <c r="E32" s="27"/>
      <c r="F32" s="27">
        <f>685.28+2465.02+724.57+1291.62</f>
        <v>5166.49</v>
      </c>
      <c r="G32" s="27"/>
      <c r="H32" s="27">
        <f>2641.1+776.33+734.23</f>
        <v>4151.66</v>
      </c>
      <c r="I32" s="30"/>
      <c r="J32" s="30"/>
      <c r="K32" s="12">
        <f t="shared" si="8"/>
        <v>13746.58</v>
      </c>
      <c r="L32" s="3">
        <f>203.43+317.38</f>
        <v>520.80999999999995</v>
      </c>
      <c r="M32" s="3">
        <f>327.74+549.48</f>
        <v>877.22</v>
      </c>
      <c r="N32" s="2">
        <f t="shared" si="9"/>
        <v>9239.0700000000015</v>
      </c>
      <c r="O32" s="2">
        <f t="shared" si="2"/>
        <v>10637.100000000002</v>
      </c>
      <c r="P32" s="18">
        <f t="shared" si="3"/>
        <v>3109.4799999999977</v>
      </c>
      <c r="Q32" s="24"/>
      <c r="R32" s="25">
        <v>3109.48</v>
      </c>
    </row>
    <row r="33" spans="1:18" x14ac:dyDescent="0.25">
      <c r="A33" s="45">
        <v>27</v>
      </c>
      <c r="B33" s="16" t="s">
        <v>16</v>
      </c>
      <c r="C33" s="14">
        <f>5631.73+1858.47</f>
        <v>7490.2</v>
      </c>
      <c r="D33" s="27"/>
      <c r="E33" s="27"/>
      <c r="F33" s="27"/>
      <c r="G33" s="27"/>
      <c r="H33" s="27"/>
      <c r="I33" s="30"/>
      <c r="J33" s="30"/>
      <c r="K33" s="12">
        <f t="shared" si="8"/>
        <v>7490.2</v>
      </c>
      <c r="L33" s="3">
        <v>949.87</v>
      </c>
      <c r="M33" s="3">
        <v>874.8</v>
      </c>
      <c r="N33" s="2">
        <f t="shared" si="9"/>
        <v>270.80999999999949</v>
      </c>
      <c r="O33" s="2">
        <f t="shared" si="2"/>
        <v>2095.4799999999996</v>
      </c>
      <c r="P33" s="18">
        <f t="shared" si="3"/>
        <v>5394.72</v>
      </c>
      <c r="Q33" s="24"/>
      <c r="R33" s="25">
        <v>5394.72</v>
      </c>
    </row>
    <row r="34" spans="1:18" x14ac:dyDescent="0.25">
      <c r="A34" s="45">
        <v>28</v>
      </c>
      <c r="B34" s="16" t="s">
        <v>58</v>
      </c>
      <c r="C34" s="14">
        <v>5488.97</v>
      </c>
      <c r="D34" s="27"/>
      <c r="E34" s="27"/>
      <c r="F34" s="27"/>
      <c r="G34" s="27"/>
      <c r="H34" s="27"/>
      <c r="I34" s="30"/>
      <c r="J34" s="30"/>
      <c r="K34" s="12">
        <f>SUM(C34:I34)</f>
        <v>5488.97</v>
      </c>
      <c r="L34" s="3">
        <v>476.58</v>
      </c>
      <c r="M34" s="3">
        <v>594.63</v>
      </c>
      <c r="N34" s="2">
        <f t="shared" ref="N34" si="20">K34-L34-M34-R34</f>
        <v>42.050000000000182</v>
      </c>
      <c r="O34" s="2">
        <f t="shared" ref="O34" si="21">SUM(L34:N34)</f>
        <v>1113.2600000000002</v>
      </c>
      <c r="P34" s="18">
        <f>SUM(K34-O34)+H34</f>
        <v>4375.71</v>
      </c>
      <c r="Q34" s="24"/>
      <c r="R34" s="25">
        <v>4375.71</v>
      </c>
    </row>
    <row r="35" spans="1:18" x14ac:dyDescent="0.25">
      <c r="A35" s="45">
        <v>29</v>
      </c>
      <c r="B35" s="16" t="s">
        <v>17</v>
      </c>
      <c r="C35" s="14">
        <v>2640.72</v>
      </c>
      <c r="D35" s="27"/>
      <c r="E35" s="27"/>
      <c r="F35" s="27"/>
      <c r="G35" s="27"/>
      <c r="H35" s="27"/>
      <c r="I35" s="30"/>
      <c r="J35" s="30"/>
      <c r="K35" s="12">
        <f>SUM(C35:I35)</f>
        <v>2640.72</v>
      </c>
      <c r="L35" s="3">
        <v>38.74</v>
      </c>
      <c r="M35" s="3">
        <v>220.21</v>
      </c>
      <c r="N35" s="2">
        <f t="shared" si="9"/>
        <v>604.31999999999994</v>
      </c>
      <c r="O35" s="2">
        <f t="shared" si="2"/>
        <v>863.27</v>
      </c>
      <c r="P35" s="18">
        <f>SUM(K35-O35)+H35</f>
        <v>1777.4499999999998</v>
      </c>
      <c r="Q35" s="24"/>
      <c r="R35" s="25">
        <v>1777.45</v>
      </c>
    </row>
    <row r="36" spans="1:18" x14ac:dyDescent="0.25">
      <c r="A36" s="45">
        <v>30</v>
      </c>
      <c r="B36" s="16" t="s">
        <v>18</v>
      </c>
      <c r="C36" s="14">
        <f>5324.28+894.48</f>
        <v>6218.76</v>
      </c>
      <c r="D36" s="27">
        <v>1064.8599999999999</v>
      </c>
      <c r="E36" s="27"/>
      <c r="F36" s="27">
        <f>118.32+591.59+99.38+269.77</f>
        <v>1079.06</v>
      </c>
      <c r="G36" s="27">
        <f>394.39+1971.96+331.29+899.21</f>
        <v>3596.85</v>
      </c>
      <c r="H36" s="27"/>
      <c r="I36" s="30"/>
      <c r="J36" s="30"/>
      <c r="K36" s="12">
        <f>SUM(C36:I36)</f>
        <v>11959.53</v>
      </c>
      <c r="L36" s="3">
        <v>915.88</v>
      </c>
      <c r="M36" s="3">
        <v>877.22</v>
      </c>
      <c r="N36" s="2">
        <f t="shared" si="9"/>
        <v>4657.5700000000024</v>
      </c>
      <c r="O36" s="2">
        <f t="shared" si="2"/>
        <v>6450.6700000000019</v>
      </c>
      <c r="P36" s="18">
        <f t="shared" si="3"/>
        <v>5508.8599999999988</v>
      </c>
      <c r="Q36" s="24"/>
      <c r="R36" s="25">
        <v>5508.86</v>
      </c>
    </row>
    <row r="37" spans="1:18" x14ac:dyDescent="0.25">
      <c r="A37" s="45">
        <v>31</v>
      </c>
      <c r="B37" s="16" t="s">
        <v>19</v>
      </c>
      <c r="C37" s="14">
        <f>13962.05+4356.16</f>
        <v>18318.21</v>
      </c>
      <c r="D37" s="27">
        <v>2792.41</v>
      </c>
      <c r="E37" s="27"/>
      <c r="F37" s="27"/>
      <c r="G37" s="27"/>
      <c r="H37" s="27"/>
      <c r="I37" s="30"/>
      <c r="J37" s="30"/>
      <c r="K37" s="12">
        <f t="shared" ref="K37:K43" si="22">SUM(C37:I37)</f>
        <v>21110.62</v>
      </c>
      <c r="L37" s="3">
        <v>4694.83</v>
      </c>
      <c r="M37" s="3">
        <v>877.22</v>
      </c>
      <c r="N37" s="2">
        <f t="shared" si="9"/>
        <v>441.22000000000116</v>
      </c>
      <c r="O37" s="2">
        <f t="shared" si="2"/>
        <v>6013.2700000000013</v>
      </c>
      <c r="P37" s="18">
        <f t="shared" si="3"/>
        <v>15097.349999999999</v>
      </c>
      <c r="Q37" s="24"/>
      <c r="R37" s="25">
        <v>15097.35</v>
      </c>
    </row>
    <row r="38" spans="1:18" x14ac:dyDescent="0.25">
      <c r="A38" s="45">
        <v>32</v>
      </c>
      <c r="B38" s="16" t="s">
        <v>83</v>
      </c>
      <c r="C38" s="14">
        <v>4659.1400000000003</v>
      </c>
      <c r="D38" s="27">
        <v>931.83</v>
      </c>
      <c r="E38" s="27"/>
      <c r="F38" s="27"/>
      <c r="G38" s="27"/>
      <c r="H38" s="27"/>
      <c r="I38" s="30"/>
      <c r="J38" s="30"/>
      <c r="K38" s="12">
        <f t="shared" si="22"/>
        <v>5590.97</v>
      </c>
      <c r="L38" s="3">
        <v>500.71</v>
      </c>
      <c r="M38" s="3">
        <v>608.91</v>
      </c>
      <c r="N38" s="2">
        <f t="shared" ref="N38" si="23">K38-L38-M38-R38</f>
        <v>7.1100000000005821</v>
      </c>
      <c r="O38" s="2">
        <f t="shared" ref="O38" si="24">SUM(L38:N38)</f>
        <v>1116.7300000000005</v>
      </c>
      <c r="P38" s="18">
        <f t="shared" ref="P38" si="25">SUM(K38-O38)</f>
        <v>4474.24</v>
      </c>
      <c r="Q38" s="24"/>
      <c r="R38" s="25">
        <v>4474.24</v>
      </c>
    </row>
    <row r="39" spans="1:18" x14ac:dyDescent="0.25">
      <c r="A39" s="45">
        <v>33</v>
      </c>
      <c r="B39" s="16" t="s">
        <v>59</v>
      </c>
      <c r="C39" s="14">
        <f>5799.31+904.69</f>
        <v>6704</v>
      </c>
      <c r="D39" s="27">
        <v>1159.8599999999999</v>
      </c>
      <c r="E39" s="27"/>
      <c r="F39" s="27"/>
      <c r="G39" s="27"/>
      <c r="H39" s="27"/>
      <c r="I39" s="30"/>
      <c r="J39" s="30"/>
      <c r="K39" s="12">
        <f t="shared" si="22"/>
        <v>7863.86</v>
      </c>
      <c r="L39" s="3">
        <v>1051.97</v>
      </c>
      <c r="M39" s="3">
        <v>877.22</v>
      </c>
      <c r="N39" s="2">
        <f t="shared" si="9"/>
        <v>32.109999999998763</v>
      </c>
      <c r="O39" s="2">
        <f t="shared" si="2"/>
        <v>1961.2999999999988</v>
      </c>
      <c r="P39" s="18">
        <f t="shared" si="3"/>
        <v>5902.5600000000013</v>
      </c>
      <c r="Q39" s="24"/>
      <c r="R39" s="25">
        <v>5902.56</v>
      </c>
    </row>
    <row r="40" spans="1:18" x14ac:dyDescent="0.25">
      <c r="A40" s="45">
        <v>34</v>
      </c>
      <c r="B40" s="16" t="s">
        <v>20</v>
      </c>
      <c r="C40" s="14">
        <f>5517.84+685.93</f>
        <v>6203.77</v>
      </c>
      <c r="D40" s="27">
        <v>2103.5700000000002</v>
      </c>
      <c r="E40" s="27"/>
      <c r="F40" s="27"/>
      <c r="G40" s="27">
        <f>257.5+1287.5+139.05+561.35</f>
        <v>2245.4</v>
      </c>
      <c r="H40" s="27"/>
      <c r="I40" s="30"/>
      <c r="J40" s="30"/>
      <c r="K40" s="12">
        <f t="shared" si="22"/>
        <v>10552.74</v>
      </c>
      <c r="L40" s="3">
        <v>1069.6500000000001</v>
      </c>
      <c r="M40" s="3">
        <f>152.89+724.33</f>
        <v>877.22</v>
      </c>
      <c r="N40" s="2">
        <f t="shared" si="9"/>
        <v>4595.8300000000008</v>
      </c>
      <c r="O40" s="2">
        <f t="shared" si="2"/>
        <v>6542.7000000000007</v>
      </c>
      <c r="P40" s="18">
        <f>SUM(K40-O40)+H40</f>
        <v>4010.0399999999991</v>
      </c>
      <c r="Q40" s="24"/>
      <c r="R40" s="25">
        <v>4010.04</v>
      </c>
    </row>
    <row r="41" spans="1:18" x14ac:dyDescent="0.25">
      <c r="A41" s="45">
        <v>35</v>
      </c>
      <c r="B41" s="16" t="s">
        <v>56</v>
      </c>
      <c r="C41" s="14">
        <v>2384.8200000000002</v>
      </c>
      <c r="D41" s="27"/>
      <c r="E41" s="27"/>
      <c r="F41" s="27"/>
      <c r="G41" s="27"/>
      <c r="H41" s="27"/>
      <c r="I41" s="30"/>
      <c r="J41" s="30"/>
      <c r="K41" s="12">
        <f t="shared" si="22"/>
        <v>2384.8200000000002</v>
      </c>
      <c r="L41" s="3">
        <v>21.43</v>
      </c>
      <c r="M41" s="3">
        <v>195.1</v>
      </c>
      <c r="N41" s="2">
        <f t="shared" ref="N41" si="26">K41-L41-M41-R41</f>
        <v>18.470000000000255</v>
      </c>
      <c r="O41" s="2">
        <f t="shared" ref="O41" si="27">SUM(L41:N41)</f>
        <v>235.00000000000026</v>
      </c>
      <c r="P41" s="18">
        <f t="shared" ref="P41" si="28">SUM(K41-O41)</f>
        <v>2149.8199999999997</v>
      </c>
      <c r="Q41" s="24"/>
      <c r="R41" s="25">
        <v>2149.8200000000002</v>
      </c>
    </row>
    <row r="42" spans="1:18" x14ac:dyDescent="0.25">
      <c r="A42" s="45">
        <v>36</v>
      </c>
      <c r="B42" s="16" t="s">
        <v>21</v>
      </c>
      <c r="C42" s="14">
        <f>3282.15+470.01</f>
        <v>3752.16</v>
      </c>
      <c r="D42" s="27">
        <v>333.34</v>
      </c>
      <c r="E42" s="27"/>
      <c r="F42" s="27"/>
      <c r="G42" s="27"/>
      <c r="H42" s="27"/>
      <c r="I42" s="30"/>
      <c r="J42" s="30"/>
      <c r="K42" s="12">
        <f t="shared" si="22"/>
        <v>4085.5</v>
      </c>
      <c r="L42" s="3">
        <v>198.3</v>
      </c>
      <c r="M42" s="3">
        <v>398.14</v>
      </c>
      <c r="N42" s="2">
        <f t="shared" si="9"/>
        <v>1059.0099999999998</v>
      </c>
      <c r="O42" s="2">
        <f t="shared" si="2"/>
        <v>1655.4499999999998</v>
      </c>
      <c r="P42" s="18">
        <f t="shared" si="3"/>
        <v>2430.0500000000002</v>
      </c>
      <c r="Q42" s="24"/>
      <c r="R42" s="25">
        <v>2430.0500000000002</v>
      </c>
    </row>
    <row r="43" spans="1:18" x14ac:dyDescent="0.25">
      <c r="A43" s="45">
        <v>37</v>
      </c>
      <c r="B43" s="16" t="s">
        <v>22</v>
      </c>
      <c r="C43" s="14">
        <f>13962.05+4523.7</f>
        <v>18485.75</v>
      </c>
      <c r="D43" s="27">
        <v>2792.41</v>
      </c>
      <c r="E43" s="27"/>
      <c r="F43" s="27"/>
      <c r="G43" s="27"/>
      <c r="H43" s="27"/>
      <c r="I43" s="30"/>
      <c r="J43" s="30"/>
      <c r="K43" s="12">
        <f t="shared" si="22"/>
        <v>21278.16</v>
      </c>
      <c r="L43" s="3">
        <v>4636.62</v>
      </c>
      <c r="M43" s="3">
        <f>214.52+662.7</f>
        <v>877.22</v>
      </c>
      <c r="N43" s="2">
        <f t="shared" si="9"/>
        <v>85.110000000002401</v>
      </c>
      <c r="O43" s="2">
        <f t="shared" si="2"/>
        <v>5598.9500000000025</v>
      </c>
      <c r="P43" s="18">
        <f t="shared" si="3"/>
        <v>15679.209999999997</v>
      </c>
      <c r="Q43" s="24"/>
      <c r="R43" s="25">
        <v>15679.21</v>
      </c>
    </row>
    <row r="44" spans="1:18" x14ac:dyDescent="0.25">
      <c r="A44" s="45">
        <v>38</v>
      </c>
      <c r="B44" s="34" t="s">
        <v>23</v>
      </c>
      <c r="C44" s="35">
        <f>2310.84+300.41</f>
        <v>2611.25</v>
      </c>
      <c r="D44" s="28"/>
      <c r="E44" s="28"/>
      <c r="F44" s="28"/>
      <c r="G44" s="28"/>
      <c r="H44" s="28"/>
      <c r="I44" s="33"/>
      <c r="J44" s="33"/>
      <c r="K44" s="36">
        <f t="shared" ref="K44:K53" si="29">SUM(C44:I44)</f>
        <v>2611.25</v>
      </c>
      <c r="L44" s="37">
        <v>36.79</v>
      </c>
      <c r="M44" s="37">
        <v>216.67</v>
      </c>
      <c r="N44" s="38">
        <f t="shared" ref="N44:N65" si="30">K44-L44-M44-R44</f>
        <v>971.59999999999991</v>
      </c>
      <c r="O44" s="38">
        <f t="shared" si="2"/>
        <v>1225.06</v>
      </c>
      <c r="P44" s="39">
        <f t="shared" si="3"/>
        <v>1386.19</v>
      </c>
      <c r="Q44" s="24"/>
      <c r="R44" s="25">
        <v>1386.19</v>
      </c>
    </row>
    <row r="45" spans="1:18" x14ac:dyDescent="0.25">
      <c r="A45" s="45">
        <v>39</v>
      </c>
      <c r="B45" s="34" t="s">
        <v>84</v>
      </c>
      <c r="C45" s="35">
        <v>3167.54</v>
      </c>
      <c r="D45" s="28"/>
      <c r="E45" s="28"/>
      <c r="F45" s="28"/>
      <c r="G45" s="28"/>
      <c r="H45" s="28"/>
      <c r="I45" s="33"/>
      <c r="J45" s="33"/>
      <c r="K45" s="36">
        <f t="shared" ref="K45" si="31">SUM(C45:I45)</f>
        <v>3167.54</v>
      </c>
      <c r="L45" s="37">
        <v>59.29</v>
      </c>
      <c r="M45" s="37">
        <v>283.43</v>
      </c>
      <c r="N45" s="38">
        <f t="shared" ref="N45" si="32">K45-L45-M45-R45</f>
        <v>167.05999999999995</v>
      </c>
      <c r="O45" s="38">
        <f t="shared" ref="O45" si="33">SUM(L45:N45)</f>
        <v>509.78</v>
      </c>
      <c r="P45" s="39">
        <f t="shared" ref="P45" si="34">SUM(K45-O45)</f>
        <v>2657.76</v>
      </c>
      <c r="Q45" s="24"/>
      <c r="R45" s="25">
        <v>2657.76</v>
      </c>
    </row>
    <row r="46" spans="1:18" x14ac:dyDescent="0.25">
      <c r="A46" s="45">
        <v>40</v>
      </c>
      <c r="B46" s="16" t="s">
        <v>24</v>
      </c>
      <c r="C46" s="14">
        <f>2778.3+792.34</f>
        <v>3570.6400000000003</v>
      </c>
      <c r="D46" s="27">
        <v>666.66</v>
      </c>
      <c r="E46" s="27"/>
      <c r="F46" s="27">
        <f>1389.15+319.51+569.55</f>
        <v>2278.21</v>
      </c>
      <c r="G46" s="27"/>
      <c r="H46" s="27"/>
      <c r="I46" s="31"/>
      <c r="J46" s="31"/>
      <c r="K46" s="12">
        <f t="shared" si="29"/>
        <v>6515.51</v>
      </c>
      <c r="L46" s="3">
        <v>202.55</v>
      </c>
      <c r="M46" s="3">
        <f>521.64+216.7</f>
        <v>738.33999999999992</v>
      </c>
      <c r="N46" s="2">
        <f t="shared" si="30"/>
        <v>2646.19</v>
      </c>
      <c r="O46" s="2">
        <f t="shared" si="2"/>
        <v>3587.08</v>
      </c>
      <c r="P46" s="18">
        <f t="shared" si="3"/>
        <v>2928.4300000000003</v>
      </c>
      <c r="Q46" s="24"/>
      <c r="R46" s="25">
        <v>2928.43</v>
      </c>
    </row>
    <row r="47" spans="1:18" x14ac:dyDescent="0.25">
      <c r="A47" s="45">
        <v>41</v>
      </c>
      <c r="B47" s="16" t="s">
        <v>25</v>
      </c>
      <c r="C47" s="14">
        <f>9214.63+1474.34</f>
        <v>10688.97</v>
      </c>
      <c r="D47" s="27"/>
      <c r="E47" s="27"/>
      <c r="F47" s="27"/>
      <c r="G47" s="27"/>
      <c r="H47" s="27"/>
      <c r="I47" s="31">
        <v>1995.79</v>
      </c>
      <c r="J47" s="31"/>
      <c r="K47" s="12">
        <f t="shared" si="29"/>
        <v>12684.759999999998</v>
      </c>
      <c r="L47" s="3">
        <v>2325.58</v>
      </c>
      <c r="M47" s="3">
        <f>109.92+767.3</f>
        <v>877.21999999999991</v>
      </c>
      <c r="N47" s="2">
        <f t="shared" si="30"/>
        <v>812.5</v>
      </c>
      <c r="O47" s="2">
        <f t="shared" si="2"/>
        <v>4015.2999999999997</v>
      </c>
      <c r="P47" s="18">
        <f t="shared" si="3"/>
        <v>8669.4599999999991</v>
      </c>
      <c r="Q47" s="24"/>
      <c r="R47" s="25">
        <v>8669.4599999999991</v>
      </c>
    </row>
    <row r="48" spans="1:18" x14ac:dyDescent="0.25">
      <c r="A48" s="45">
        <v>42</v>
      </c>
      <c r="B48" s="16" t="s">
        <v>26</v>
      </c>
      <c r="C48" s="14">
        <f>6211.79+3358.05</f>
        <v>9569.84</v>
      </c>
      <c r="D48" s="27">
        <v>6703.8</v>
      </c>
      <c r="E48" s="27"/>
      <c r="F48" s="27"/>
      <c r="G48" s="27"/>
      <c r="H48" s="27"/>
      <c r="I48" s="31"/>
      <c r="J48" s="31"/>
      <c r="K48" s="12">
        <f t="shared" si="29"/>
        <v>16273.64</v>
      </c>
      <c r="L48" s="3">
        <v>3364.66</v>
      </c>
      <c r="M48" s="3">
        <f>48.84+828.38</f>
        <v>877.22</v>
      </c>
      <c r="N48" s="2">
        <f>K48-L48-M48-R48</f>
        <v>1031.1599999999999</v>
      </c>
      <c r="O48" s="2">
        <f>SUM(L48:N48)</f>
        <v>5273.04</v>
      </c>
      <c r="P48" s="18">
        <f t="shared" si="3"/>
        <v>11000.599999999999</v>
      </c>
      <c r="Q48" s="24"/>
      <c r="R48" s="25">
        <v>11000.6</v>
      </c>
    </row>
    <row r="49" spans="1:18" x14ac:dyDescent="0.25">
      <c r="A49" s="45">
        <v>43</v>
      </c>
      <c r="B49" s="16" t="s">
        <v>27</v>
      </c>
      <c r="C49" s="14">
        <f>5799.31+1113.47</f>
        <v>6912.7800000000007</v>
      </c>
      <c r="D49" s="27">
        <v>1159.8599999999999</v>
      </c>
      <c r="E49" s="27"/>
      <c r="F49" s="27"/>
      <c r="G49" s="27"/>
      <c r="H49" s="27"/>
      <c r="I49" s="31"/>
      <c r="J49" s="31"/>
      <c r="K49" s="12">
        <f t="shared" si="29"/>
        <v>8072.64</v>
      </c>
      <c r="L49" s="3">
        <v>1005.11</v>
      </c>
      <c r="M49" s="3">
        <f>136.91+740.31</f>
        <v>877.21999999999991</v>
      </c>
      <c r="N49" s="2">
        <f t="shared" si="30"/>
        <v>550.09000000000015</v>
      </c>
      <c r="O49" s="2">
        <f t="shared" si="2"/>
        <v>2432.42</v>
      </c>
      <c r="P49" s="18">
        <f t="shared" si="3"/>
        <v>5640.22</v>
      </c>
      <c r="Q49" s="24"/>
      <c r="R49" s="25">
        <v>5640.22</v>
      </c>
    </row>
    <row r="50" spans="1:18" x14ac:dyDescent="0.25">
      <c r="A50" s="45">
        <v>44</v>
      </c>
      <c r="B50" s="16" t="s">
        <v>85</v>
      </c>
      <c r="C50" s="14">
        <v>2139.62</v>
      </c>
      <c r="D50" s="27"/>
      <c r="E50" s="27"/>
      <c r="F50" s="27"/>
      <c r="G50" s="27"/>
      <c r="H50" s="27"/>
      <c r="I50" s="31"/>
      <c r="J50" s="31"/>
      <c r="K50" s="12">
        <f t="shared" si="29"/>
        <v>2139.62</v>
      </c>
      <c r="L50" s="3"/>
      <c r="M50" s="3">
        <v>173.03</v>
      </c>
      <c r="N50" s="2">
        <f t="shared" ref="N50" si="35">K50-L50-M50-R50</f>
        <v>7.1099999999999</v>
      </c>
      <c r="O50" s="2">
        <f t="shared" ref="O50" si="36">SUM(L50:N50)</f>
        <v>180.1399999999999</v>
      </c>
      <c r="P50" s="18">
        <f t="shared" ref="P50" si="37">SUM(K50-O50)</f>
        <v>1959.48</v>
      </c>
      <c r="Q50" s="24"/>
      <c r="R50" s="25">
        <v>1959.48</v>
      </c>
    </row>
    <row r="51" spans="1:18" x14ac:dyDescent="0.25">
      <c r="A51" s="45">
        <v>45</v>
      </c>
      <c r="B51" s="16" t="s">
        <v>28</v>
      </c>
      <c r="C51" s="14">
        <f>6403.56+1921.07</f>
        <v>8324.630000000001</v>
      </c>
      <c r="D51" s="27">
        <v>95.45</v>
      </c>
      <c r="E51" s="27"/>
      <c r="F51" s="27"/>
      <c r="G51" s="27"/>
      <c r="H51" s="27"/>
      <c r="I51" s="31"/>
      <c r="J51" s="31"/>
      <c r="K51" s="12">
        <f t="shared" si="29"/>
        <v>8420.0800000000017</v>
      </c>
      <c r="L51" s="3">
        <v>1152.79</v>
      </c>
      <c r="M51" s="3">
        <f>304.96+572.26</f>
        <v>877.22</v>
      </c>
      <c r="N51" s="2">
        <f t="shared" si="30"/>
        <v>632.57000000000153</v>
      </c>
      <c r="O51" s="2">
        <f t="shared" si="2"/>
        <v>2662.5800000000017</v>
      </c>
      <c r="P51" s="18">
        <f>SUM(K51-O51)+H51</f>
        <v>5757.5</v>
      </c>
      <c r="Q51" s="24"/>
      <c r="R51" s="25">
        <v>5757.5</v>
      </c>
    </row>
    <row r="52" spans="1:18" x14ac:dyDescent="0.25">
      <c r="A52" s="45">
        <v>46</v>
      </c>
      <c r="B52" s="16" t="s">
        <v>29</v>
      </c>
      <c r="C52" s="14">
        <f>5799.31+904.69</f>
        <v>6704</v>
      </c>
      <c r="D52" s="27">
        <v>1159.8599999999999</v>
      </c>
      <c r="E52" s="27"/>
      <c r="F52" s="27"/>
      <c r="G52" s="27"/>
      <c r="H52" s="27"/>
      <c r="I52" s="31"/>
      <c r="J52" s="31"/>
      <c r="K52" s="12">
        <f t="shared" si="29"/>
        <v>7863.86</v>
      </c>
      <c r="L52" s="3">
        <v>1051.97</v>
      </c>
      <c r="M52" s="3">
        <v>877.22</v>
      </c>
      <c r="N52" s="2">
        <f t="shared" si="30"/>
        <v>996.3799999999992</v>
      </c>
      <c r="O52" s="2">
        <f t="shared" si="2"/>
        <v>2925.5699999999993</v>
      </c>
      <c r="P52" s="18">
        <f>SUM(K52-O52)+H52</f>
        <v>4938.2900000000009</v>
      </c>
      <c r="Q52" s="24"/>
      <c r="R52" s="25">
        <v>4938.29</v>
      </c>
    </row>
    <row r="53" spans="1:18" x14ac:dyDescent="0.25">
      <c r="A53" s="45">
        <v>47</v>
      </c>
      <c r="B53" s="16" t="s">
        <v>30</v>
      </c>
      <c r="C53" s="14">
        <f>4473.12+581.51</f>
        <v>5054.63</v>
      </c>
      <c r="D53" s="27"/>
      <c r="E53" s="27"/>
      <c r="F53" s="27"/>
      <c r="G53" s="27"/>
      <c r="H53" s="27"/>
      <c r="I53" s="31"/>
      <c r="J53" s="31"/>
      <c r="K53" s="12">
        <f t="shared" si="29"/>
        <v>5054.63</v>
      </c>
      <c r="L53" s="3">
        <v>295.74</v>
      </c>
      <c r="M53" s="3">
        <v>533.82000000000005</v>
      </c>
      <c r="N53" s="2">
        <f t="shared" si="30"/>
        <v>855.57000000000062</v>
      </c>
      <c r="O53" s="2">
        <f t="shared" si="2"/>
        <v>1685.1300000000006</v>
      </c>
      <c r="P53" s="18">
        <f t="shared" si="3"/>
        <v>3369.4999999999995</v>
      </c>
      <c r="Q53" s="24"/>
      <c r="R53" s="25">
        <v>3369.5</v>
      </c>
    </row>
    <row r="54" spans="1:18" x14ac:dyDescent="0.25">
      <c r="A54" s="45">
        <v>48</v>
      </c>
      <c r="B54" s="16" t="s">
        <v>31</v>
      </c>
      <c r="C54" s="14">
        <f>5799.31+1136.66</f>
        <v>6935.97</v>
      </c>
      <c r="D54" s="27">
        <v>2319.7199999999998</v>
      </c>
      <c r="E54" s="27"/>
      <c r="F54" s="27"/>
      <c r="G54" s="27"/>
      <c r="H54" s="27"/>
      <c r="I54" s="31"/>
      <c r="J54" s="31"/>
      <c r="K54" s="12">
        <f t="shared" ref="K54:K62" si="38">SUM(C54:I54)</f>
        <v>9255.69</v>
      </c>
      <c r="L54" s="3">
        <v>1382.58</v>
      </c>
      <c r="M54" s="3">
        <f>830.55+46.67</f>
        <v>877.21999999999991</v>
      </c>
      <c r="N54" s="2">
        <f t="shared" si="30"/>
        <v>255</v>
      </c>
      <c r="O54" s="2">
        <f t="shared" si="2"/>
        <v>2514.7999999999997</v>
      </c>
      <c r="P54" s="18">
        <f t="shared" si="3"/>
        <v>6740.8900000000012</v>
      </c>
      <c r="Q54" s="24"/>
      <c r="R54" s="25">
        <v>6740.89</v>
      </c>
    </row>
    <row r="55" spans="1:18" x14ac:dyDescent="0.25">
      <c r="A55" s="45">
        <v>49</v>
      </c>
      <c r="B55" s="16" t="s">
        <v>32</v>
      </c>
      <c r="C55" s="14">
        <f>5998.6+573.37</f>
        <v>6571.97</v>
      </c>
      <c r="D55" s="27"/>
      <c r="E55" s="27"/>
      <c r="F55" s="27"/>
      <c r="G55" s="27"/>
      <c r="H55" s="27"/>
      <c r="I55" s="31"/>
      <c r="J55" s="31"/>
      <c r="K55" s="12">
        <f t="shared" si="38"/>
        <v>6571.97</v>
      </c>
      <c r="L55" s="3">
        <v>617.91999999999996</v>
      </c>
      <c r="M55" s="3">
        <v>709.16</v>
      </c>
      <c r="N55" s="2">
        <f t="shared" si="30"/>
        <v>1277.6000000000004</v>
      </c>
      <c r="O55" s="2">
        <f t="shared" si="2"/>
        <v>2604.6800000000003</v>
      </c>
      <c r="P55" s="18">
        <f t="shared" si="3"/>
        <v>3967.29</v>
      </c>
      <c r="Q55" s="24"/>
      <c r="R55" s="25">
        <v>3967.29</v>
      </c>
    </row>
    <row r="56" spans="1:18" x14ac:dyDescent="0.25">
      <c r="A56" s="45">
        <v>50</v>
      </c>
      <c r="B56" s="16" t="s">
        <v>55</v>
      </c>
      <c r="C56" s="14">
        <f>2271.26+113.56</f>
        <v>2384.8200000000002</v>
      </c>
      <c r="D56" s="27"/>
      <c r="E56" s="27"/>
      <c r="F56" s="27"/>
      <c r="G56" s="27"/>
      <c r="H56" s="27"/>
      <c r="I56" s="31"/>
      <c r="J56" s="31"/>
      <c r="K56" s="12">
        <f t="shared" si="38"/>
        <v>2384.8200000000002</v>
      </c>
      <c r="L56" s="3">
        <v>21.43</v>
      </c>
      <c r="M56" s="3">
        <v>195.1</v>
      </c>
      <c r="N56" s="2">
        <f t="shared" ref="N56" si="39">K56-L56-M56-R56</f>
        <v>7.1100000000005821</v>
      </c>
      <c r="O56" s="2">
        <f t="shared" ref="O56" si="40">SUM(L56:N56)</f>
        <v>223.64000000000058</v>
      </c>
      <c r="P56" s="18">
        <f t="shared" ref="P56" si="41">SUM(K56-O56)</f>
        <v>2161.1799999999994</v>
      </c>
      <c r="Q56" s="24"/>
      <c r="R56" s="25">
        <v>2161.1799999999998</v>
      </c>
    </row>
    <row r="57" spans="1:18" x14ac:dyDescent="0.25">
      <c r="A57" s="45">
        <v>51</v>
      </c>
      <c r="B57" s="16" t="s">
        <v>33</v>
      </c>
      <c r="C57" s="14">
        <f>13962.05+5026.34</f>
        <v>18988.39</v>
      </c>
      <c r="D57" s="27">
        <v>2792.41</v>
      </c>
      <c r="E57" s="27"/>
      <c r="F57" s="27"/>
      <c r="G57" s="27"/>
      <c r="H57" s="27"/>
      <c r="I57" s="31"/>
      <c r="J57" s="31"/>
      <c r="K57" s="12">
        <f t="shared" si="38"/>
        <v>21780.799999999999</v>
      </c>
      <c r="L57" s="3">
        <v>4879.12</v>
      </c>
      <c r="M57" s="3">
        <v>877.22</v>
      </c>
      <c r="N57" s="2">
        <f t="shared" si="30"/>
        <v>7.1100000000005821</v>
      </c>
      <c r="O57" s="2">
        <f t="shared" si="2"/>
        <v>5763.4500000000007</v>
      </c>
      <c r="P57" s="18">
        <f>SUM(K57-O57)+H57</f>
        <v>16017.349999999999</v>
      </c>
      <c r="Q57" s="24"/>
      <c r="R57" s="25">
        <v>16017.35</v>
      </c>
    </row>
    <row r="58" spans="1:18" x14ac:dyDescent="0.25">
      <c r="A58" s="45">
        <v>52</v>
      </c>
      <c r="B58" s="16" t="s">
        <v>34</v>
      </c>
      <c r="C58" s="14">
        <v>2707.38</v>
      </c>
      <c r="D58" s="27"/>
      <c r="E58" s="27"/>
      <c r="F58" s="27"/>
      <c r="G58" s="27"/>
      <c r="H58" s="27"/>
      <c r="I58" s="31"/>
      <c r="J58" s="31"/>
      <c r="K58" s="12">
        <f t="shared" si="38"/>
        <v>2707.38</v>
      </c>
      <c r="L58" s="3">
        <v>43.14</v>
      </c>
      <c r="M58" s="3">
        <v>228.21</v>
      </c>
      <c r="N58" s="2">
        <f t="shared" si="30"/>
        <v>43.740000000000236</v>
      </c>
      <c r="O58" s="2">
        <f t="shared" si="2"/>
        <v>315.09000000000026</v>
      </c>
      <c r="P58" s="18">
        <f t="shared" si="3"/>
        <v>2392.29</v>
      </c>
      <c r="Q58" s="24"/>
      <c r="R58" s="25">
        <v>2392.29</v>
      </c>
    </row>
    <row r="59" spans="1:18" x14ac:dyDescent="0.25">
      <c r="A59" s="45">
        <v>53</v>
      </c>
      <c r="B59" s="16" t="s">
        <v>74</v>
      </c>
      <c r="C59" s="14">
        <f>3167.55+36.68</f>
        <v>3204.23</v>
      </c>
      <c r="D59" s="27">
        <v>573.41999999999996</v>
      </c>
      <c r="E59" s="27"/>
      <c r="F59" s="27"/>
      <c r="G59" s="27"/>
      <c r="H59" s="27"/>
      <c r="I59" s="31"/>
      <c r="J59" s="31"/>
      <c r="K59" s="12">
        <f t="shared" si="38"/>
        <v>3777.65</v>
      </c>
      <c r="L59" s="3">
        <v>158.35</v>
      </c>
      <c r="M59" s="3">
        <v>356.64</v>
      </c>
      <c r="N59" s="2">
        <f t="shared" ref="N59" si="42">K59-L59-M59-R59</f>
        <v>38.3100000000004</v>
      </c>
      <c r="O59" s="2">
        <f t="shared" ref="O59" si="43">SUM(L59:N59)</f>
        <v>553.30000000000041</v>
      </c>
      <c r="P59" s="18">
        <f t="shared" ref="P59" si="44">SUM(K59-O59)</f>
        <v>3224.3499999999995</v>
      </c>
      <c r="Q59" s="24"/>
      <c r="R59" s="25">
        <v>3224.35</v>
      </c>
    </row>
    <row r="60" spans="1:18" x14ac:dyDescent="0.25">
      <c r="A60" s="45">
        <v>54</v>
      </c>
      <c r="B60" s="16" t="s">
        <v>86</v>
      </c>
      <c r="C60" s="14">
        <v>3167.54</v>
      </c>
      <c r="D60" s="27"/>
      <c r="E60" s="27"/>
      <c r="F60" s="27"/>
      <c r="G60" s="27"/>
      <c r="H60" s="27"/>
      <c r="I60" s="31"/>
      <c r="J60" s="31"/>
      <c r="K60" s="12">
        <f t="shared" si="38"/>
        <v>3167.54</v>
      </c>
      <c r="L60" s="3">
        <v>77.819999999999993</v>
      </c>
      <c r="M60" s="3">
        <v>283.43</v>
      </c>
      <c r="N60" s="2">
        <f t="shared" ref="N60" si="45">K60-L60-M60-R60</f>
        <v>228.36000000000013</v>
      </c>
      <c r="O60" s="2">
        <f t="shared" ref="O60" si="46">SUM(L60:N60)</f>
        <v>589.61000000000013</v>
      </c>
      <c r="P60" s="18">
        <f t="shared" ref="P60" si="47">SUM(K60-O60)</f>
        <v>2577.9299999999998</v>
      </c>
      <c r="Q60" s="24"/>
      <c r="R60" s="25">
        <v>2577.9299999999998</v>
      </c>
    </row>
    <row r="61" spans="1:18" x14ac:dyDescent="0.25">
      <c r="A61" s="45">
        <v>55</v>
      </c>
      <c r="B61" s="16" t="s">
        <v>35</v>
      </c>
      <c r="C61" s="14">
        <f>6055.19+2882.27</f>
        <v>8937.4599999999991</v>
      </c>
      <c r="D61" s="27">
        <v>2422.08</v>
      </c>
      <c r="E61" s="27"/>
      <c r="F61" s="27">
        <f>2422.08+6055.19+2882.27+3786.51</f>
        <v>15146.050000000001</v>
      </c>
      <c r="G61" s="27">
        <f>1614.72+4036.79+1921.51+2524.34</f>
        <v>10097.36</v>
      </c>
      <c r="H61" s="27">
        <f>6055.19+2882.27+2422.08</f>
        <v>11359.539999999999</v>
      </c>
      <c r="I61" s="31"/>
      <c r="J61" s="31"/>
      <c r="K61" s="12">
        <f t="shared" si="38"/>
        <v>47962.49</v>
      </c>
      <c r="L61" s="3">
        <f>2022.38+3002.43</f>
        <v>5024.8099999999995</v>
      </c>
      <c r="M61" s="3">
        <v>877.22</v>
      </c>
      <c r="N61" s="2">
        <f t="shared" si="30"/>
        <v>34657.25</v>
      </c>
      <c r="O61" s="2">
        <f t="shared" si="2"/>
        <v>40559.279999999999</v>
      </c>
      <c r="P61" s="18">
        <f>SUM(K61-O61)+H61</f>
        <v>18762.75</v>
      </c>
      <c r="Q61" s="24"/>
      <c r="R61" s="25">
        <v>7403.21</v>
      </c>
    </row>
    <row r="62" spans="1:18" x14ac:dyDescent="0.25">
      <c r="A62" s="45">
        <v>56</v>
      </c>
      <c r="B62" s="16" t="s">
        <v>36</v>
      </c>
      <c r="C62" s="14">
        <v>6090.85</v>
      </c>
      <c r="D62" s="27"/>
      <c r="E62" s="27"/>
      <c r="F62" s="27"/>
      <c r="G62" s="27"/>
      <c r="H62" s="27"/>
      <c r="I62" s="31"/>
      <c r="J62" s="31"/>
      <c r="K62" s="12">
        <f t="shared" si="38"/>
        <v>6090.85</v>
      </c>
      <c r="L62" s="3">
        <v>566.79</v>
      </c>
      <c r="M62" s="3">
        <v>678.89</v>
      </c>
      <c r="N62" s="2">
        <f t="shared" si="30"/>
        <v>1686.6399999999999</v>
      </c>
      <c r="O62" s="2">
        <f t="shared" si="2"/>
        <v>2932.3199999999997</v>
      </c>
      <c r="P62" s="18">
        <f t="shared" si="3"/>
        <v>3158.5300000000007</v>
      </c>
      <c r="Q62" s="24"/>
      <c r="R62" s="25">
        <v>3158.53</v>
      </c>
    </row>
    <row r="63" spans="1:18" x14ac:dyDescent="0.25">
      <c r="A63" s="45">
        <v>57</v>
      </c>
      <c r="B63" s="16" t="s">
        <v>61</v>
      </c>
      <c r="C63" s="14">
        <v>4895.37</v>
      </c>
      <c r="D63" s="27"/>
      <c r="E63" s="27"/>
      <c r="F63" s="27"/>
      <c r="G63" s="27"/>
      <c r="H63" s="27"/>
      <c r="I63" s="31"/>
      <c r="J63" s="31"/>
      <c r="K63" s="12">
        <f>SUM(C63:I63)</f>
        <v>4895.37</v>
      </c>
      <c r="L63" s="3">
        <v>350.23</v>
      </c>
      <c r="M63" s="3">
        <v>511.53</v>
      </c>
      <c r="N63" s="2">
        <f t="shared" ref="N63" si="48">K63-L63-M63-R63</f>
        <v>1122.2399999999998</v>
      </c>
      <c r="O63" s="2">
        <f t="shared" ref="O63" si="49">SUM(L63:N63)</f>
        <v>1983.9999999999998</v>
      </c>
      <c r="P63" s="18">
        <f t="shared" ref="P63" si="50">SUM(K63-O63)</f>
        <v>2911.37</v>
      </c>
      <c r="Q63" s="24"/>
      <c r="R63" s="25">
        <v>2911.37</v>
      </c>
    </row>
    <row r="64" spans="1:18" x14ac:dyDescent="0.25">
      <c r="A64" s="45">
        <v>58</v>
      </c>
      <c r="B64" s="50" t="s">
        <v>87</v>
      </c>
      <c r="C64" s="51">
        <v>3167.54</v>
      </c>
      <c r="D64" s="52"/>
      <c r="E64" s="52"/>
      <c r="F64" s="52"/>
      <c r="G64" s="52"/>
      <c r="H64" s="52"/>
      <c r="I64" s="53"/>
      <c r="J64" s="53"/>
      <c r="K64" s="12">
        <f>SUM(C64:I64)</f>
        <v>3167.54</v>
      </c>
      <c r="L64" s="54">
        <v>77.819999999999993</v>
      </c>
      <c r="M64" s="54">
        <v>283.43</v>
      </c>
      <c r="N64" s="2">
        <f t="shared" ref="N64" si="51">K64-L64-M64-R64</f>
        <v>7.1100000000001273</v>
      </c>
      <c r="O64" s="2">
        <f t="shared" ref="O64" si="52">SUM(L64:N64)</f>
        <v>368.36000000000013</v>
      </c>
      <c r="P64" s="18">
        <f t="shared" ref="P64" si="53">SUM(K64-O64)</f>
        <v>2799.18</v>
      </c>
      <c r="Q64" s="24"/>
      <c r="R64" s="25">
        <v>2799.18</v>
      </c>
    </row>
    <row r="65" spans="1:18" ht="15.75" thickBot="1" x14ac:dyDescent="0.3">
      <c r="A65" s="45">
        <v>59</v>
      </c>
      <c r="B65" s="17" t="s">
        <v>37</v>
      </c>
      <c r="C65" s="15">
        <f>9306.78+1824.13</f>
        <v>11130.91</v>
      </c>
      <c r="D65" s="29">
        <v>3722.71</v>
      </c>
      <c r="E65" s="29"/>
      <c r="F65" s="29"/>
      <c r="G65" s="29"/>
      <c r="H65" s="29"/>
      <c r="I65" s="32">
        <v>1995.78</v>
      </c>
      <c r="J65" s="32"/>
      <c r="K65" s="13">
        <f>SUM(C65:J65)</f>
        <v>16849.399999999998</v>
      </c>
      <c r="L65" s="10">
        <v>3470.85</v>
      </c>
      <c r="M65" s="10">
        <f>755.18+122.04</f>
        <v>877.21999999999991</v>
      </c>
      <c r="N65" s="11">
        <f t="shared" si="30"/>
        <v>69.909999999998035</v>
      </c>
      <c r="O65" s="11">
        <f t="shared" si="2"/>
        <v>4417.9799999999977</v>
      </c>
      <c r="P65" s="19">
        <f t="shared" si="3"/>
        <v>12431.42</v>
      </c>
      <c r="Q65" s="24"/>
      <c r="R65" s="25">
        <v>12431.42</v>
      </c>
    </row>
    <row r="66" spans="1:18" ht="15.75" thickBot="1" x14ac:dyDescent="0.3"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</row>
    <row r="67" spans="1:18" x14ac:dyDescent="0.25">
      <c r="B67" s="64" t="s">
        <v>79</v>
      </c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6"/>
    </row>
    <row r="68" spans="1:18" x14ac:dyDescent="0.25">
      <c r="B68" s="68" t="s">
        <v>76</v>
      </c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70"/>
    </row>
    <row r="69" spans="1:18" ht="5.25" customHeight="1" x14ac:dyDescent="0.25">
      <c r="B69" s="58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60"/>
    </row>
    <row r="70" spans="1:18" x14ac:dyDescent="0.25">
      <c r="B70" s="61" t="s">
        <v>70</v>
      </c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3"/>
    </row>
    <row r="71" spans="1:18" x14ac:dyDescent="0.25">
      <c r="B71" s="58" t="s">
        <v>67</v>
      </c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60"/>
    </row>
    <row r="72" spans="1:18" x14ac:dyDescent="0.25">
      <c r="B72" s="58" t="s">
        <v>68</v>
      </c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60"/>
    </row>
    <row r="73" spans="1:18" x14ac:dyDescent="0.25">
      <c r="B73" s="58" t="s">
        <v>69</v>
      </c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60"/>
    </row>
    <row r="74" spans="1:18" ht="15.75" thickBot="1" x14ac:dyDescent="0.3">
      <c r="B74" s="55" t="s">
        <v>77</v>
      </c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7"/>
    </row>
    <row r="75" spans="1:18" x14ac:dyDescent="0.25"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</row>
    <row r="76" spans="1:18" x14ac:dyDescent="0.25">
      <c r="B76" s="6"/>
      <c r="C76" s="5"/>
      <c r="D76" s="5"/>
      <c r="E76" s="5"/>
      <c r="F76" s="5"/>
      <c r="G76" s="5"/>
      <c r="H76" s="5"/>
      <c r="I76" s="5"/>
      <c r="J76" s="5"/>
      <c r="K76" s="46"/>
      <c r="L76" s="5"/>
      <c r="M76" s="5"/>
      <c r="N76" s="5"/>
      <c r="O76" s="46"/>
      <c r="P76" s="5"/>
    </row>
    <row r="77" spans="1:18" x14ac:dyDescent="0.25">
      <c r="B77" s="4"/>
      <c r="C77" s="4"/>
      <c r="D77" s="4"/>
      <c r="E77" s="4"/>
      <c r="F77" s="4"/>
      <c r="G77" s="4"/>
      <c r="H77" s="4"/>
      <c r="I77" s="4"/>
      <c r="J77" s="4"/>
      <c r="K77" s="48"/>
      <c r="L77" s="48"/>
      <c r="M77" s="48"/>
      <c r="N77" s="48"/>
      <c r="O77" s="48"/>
      <c r="P77" s="48"/>
    </row>
    <row r="78" spans="1:18" x14ac:dyDescent="0.25">
      <c r="K78" s="1"/>
      <c r="O78" s="1"/>
      <c r="P78" s="1"/>
    </row>
    <row r="80" spans="1:18" x14ac:dyDescent="0.25">
      <c r="K80" s="1"/>
      <c r="O80" s="1"/>
    </row>
    <row r="81" spans="11:16" x14ac:dyDescent="0.25">
      <c r="K81" s="1"/>
      <c r="L81" s="1"/>
      <c r="M81" s="1"/>
      <c r="N81" s="1"/>
      <c r="P81" s="1"/>
    </row>
  </sheetData>
  <mergeCells count="19">
    <mergeCell ref="B67:P67"/>
    <mergeCell ref="B66:P66"/>
    <mergeCell ref="B68:P68"/>
    <mergeCell ref="B1:P1"/>
    <mergeCell ref="B2:P2"/>
    <mergeCell ref="B3:P3"/>
    <mergeCell ref="B5:B6"/>
    <mergeCell ref="C5:C6"/>
    <mergeCell ref="L5:L6"/>
    <mergeCell ref="M5:M6"/>
    <mergeCell ref="E5:E6"/>
    <mergeCell ref="D5:D6"/>
    <mergeCell ref="F5:F6"/>
    <mergeCell ref="B74:P74"/>
    <mergeCell ref="B69:P69"/>
    <mergeCell ref="B70:P70"/>
    <mergeCell ref="B71:P71"/>
    <mergeCell ref="B73:P73"/>
    <mergeCell ref="B72:P72"/>
  </mergeCells>
  <pageMargins left="0.23622047244094491" right="3.937007874015748E-2" top="0.19685039370078741" bottom="0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</cp:lastModifiedBy>
  <cp:lastPrinted>2023-03-23T19:32:59Z</cp:lastPrinted>
  <dcterms:created xsi:type="dcterms:W3CDTF">2016-04-28T12:49:34Z</dcterms:created>
  <dcterms:modified xsi:type="dcterms:W3CDTF">2023-03-24T16:07:45Z</dcterms:modified>
</cp:coreProperties>
</file>