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03 - MARÇO\"/>
    </mc:Choice>
  </mc:AlternateContent>
  <xr:revisionPtr revIDLastSave="0" documentId="13_ncr:1_{C48BDC8E-3BD7-465C-BBC9-F72BE6F645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mes!$A$1:$O$77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6" l="1"/>
  <c r="B10" i="6"/>
  <c r="E10" i="6"/>
  <c r="J63" i="6"/>
  <c r="J55" i="6"/>
  <c r="J37" i="6"/>
  <c r="J33" i="6"/>
  <c r="J15" i="6"/>
  <c r="B7" i="6"/>
  <c r="J7" i="6" s="1"/>
  <c r="B66" i="6"/>
  <c r="K61" i="6"/>
  <c r="E61" i="6"/>
  <c r="F61" i="6"/>
  <c r="G61" i="6"/>
  <c r="B61" i="6"/>
  <c r="B59" i="6"/>
  <c r="L56" i="6"/>
  <c r="E56" i="6"/>
  <c r="G56" i="6"/>
  <c r="B56" i="6"/>
  <c r="L53" i="6"/>
  <c r="E53" i="6"/>
  <c r="B53" i="6"/>
  <c r="B52" i="6"/>
  <c r="B49" i="6"/>
  <c r="L47" i="6"/>
  <c r="E47" i="6"/>
  <c r="B47" i="6"/>
  <c r="B43" i="6"/>
  <c r="B39" i="6"/>
  <c r="L36" i="6"/>
  <c r="K36" i="6"/>
  <c r="E36" i="6"/>
  <c r="G36" i="6"/>
  <c r="B36" i="6"/>
  <c r="L31" i="6"/>
  <c r="K31" i="6"/>
  <c r="G31" i="6"/>
  <c r="E31" i="6"/>
  <c r="B31" i="6"/>
  <c r="L28" i="6"/>
  <c r="E28" i="6"/>
  <c r="B28" i="6"/>
  <c r="L21" i="6"/>
  <c r="E21" i="6"/>
  <c r="B21" i="6"/>
  <c r="B20" i="6"/>
  <c r="L18" i="6"/>
  <c r="E18" i="6"/>
  <c r="B18" i="6"/>
  <c r="B16" i="6"/>
  <c r="C14" i="6"/>
  <c r="B14" i="6"/>
  <c r="L66" i="6"/>
  <c r="B50" i="6"/>
  <c r="B48" i="6"/>
  <c r="J48" i="6" s="1"/>
  <c r="B40" i="6"/>
  <c r="L39" i="6"/>
  <c r="B23" i="6"/>
  <c r="L50" i="6"/>
  <c r="L49" i="6"/>
  <c r="L48" i="6"/>
  <c r="L29" i="6"/>
  <c r="J25" i="6" l="1"/>
  <c r="M25" i="6" s="1"/>
  <c r="N25" i="6" s="1"/>
  <c r="O25" i="6" s="1"/>
  <c r="B27" i="6" l="1"/>
  <c r="B38" i="6" l="1"/>
  <c r="B65" i="6" l="1"/>
  <c r="B22" i="6"/>
  <c r="J59" i="6" l="1"/>
  <c r="J50" i="6"/>
  <c r="J49" i="6"/>
  <c r="J47" i="6"/>
  <c r="J38" i="6"/>
  <c r="J66" i="6"/>
  <c r="J51" i="6"/>
  <c r="J53" i="6"/>
  <c r="J54" i="6"/>
  <c r="J56" i="6"/>
  <c r="J57" i="6"/>
  <c r="J58" i="6"/>
  <c r="J60" i="6"/>
  <c r="J61" i="6"/>
  <c r="J62" i="6"/>
  <c r="J64" i="6"/>
  <c r="J65" i="6"/>
  <c r="J46" i="6"/>
  <c r="J43" i="6"/>
  <c r="J32" i="6"/>
  <c r="J34" i="6"/>
  <c r="J35" i="6"/>
  <c r="J36" i="6"/>
  <c r="J39" i="6"/>
  <c r="J40" i="6"/>
  <c r="J41" i="6"/>
  <c r="J42" i="6"/>
  <c r="J9" i="6"/>
  <c r="J10" i="6"/>
  <c r="J11" i="6"/>
  <c r="J12" i="6"/>
  <c r="J13" i="6"/>
  <c r="J16" i="6"/>
  <c r="J17" i="6"/>
  <c r="J18" i="6"/>
  <c r="J19" i="6"/>
  <c r="J20" i="6"/>
  <c r="J21" i="6"/>
  <c r="J22" i="6"/>
  <c r="J23" i="6"/>
  <c r="J24" i="6"/>
  <c r="J26" i="6"/>
  <c r="J27" i="6"/>
  <c r="J28" i="6"/>
  <c r="J29" i="6"/>
  <c r="J30" i="6"/>
  <c r="J31" i="6"/>
  <c r="J8" i="6"/>
  <c r="J52" i="6" l="1"/>
  <c r="J14" i="6"/>
  <c r="M64" i="6" l="1"/>
  <c r="N64" i="6" s="1"/>
  <c r="O64" i="6" s="1"/>
  <c r="M65" i="6" l="1"/>
  <c r="N65" i="6" s="1"/>
  <c r="O65" i="6" s="1"/>
  <c r="M10" i="6" l="1"/>
  <c r="N10" i="6" s="1"/>
  <c r="O10" i="6" s="1"/>
  <c r="M19" i="6" l="1"/>
  <c r="N19" i="6" s="1"/>
  <c r="O19" i="6" s="1"/>
  <c r="M34" i="6" l="1"/>
  <c r="N34" i="6" s="1"/>
  <c r="O34" i="6" s="1"/>
  <c r="M11" i="6" l="1"/>
  <c r="N11" i="6" s="1"/>
  <c r="O11" i="6" s="1"/>
  <c r="M41" i="6" l="1"/>
  <c r="N41" i="6" s="1"/>
  <c r="O41" i="6" s="1"/>
  <c r="M58" i="6" l="1"/>
  <c r="N58" i="6" s="1"/>
  <c r="O58" i="6" s="1"/>
  <c r="M26" i="6"/>
  <c r="N26" i="6" s="1"/>
  <c r="O26" i="6" s="1"/>
  <c r="M16" i="6" l="1"/>
  <c r="N16" i="6" s="1"/>
  <c r="O16" i="6" s="1"/>
  <c r="M13" i="6" l="1"/>
  <c r="N13" i="6" s="1"/>
  <c r="O13" i="6" s="1"/>
  <c r="M66" i="6"/>
  <c r="N66" i="6" s="1"/>
  <c r="O66" i="6" s="1"/>
  <c r="M63" i="6"/>
  <c r="N63" i="6" s="1"/>
  <c r="O63" i="6" s="1"/>
  <c r="M60" i="6"/>
  <c r="N60" i="6" s="1"/>
  <c r="M57" i="6"/>
  <c r="N57" i="6" s="1"/>
  <c r="O57" i="6" s="1"/>
  <c r="M56" i="6"/>
  <c r="N56" i="6" s="1"/>
  <c r="O56" i="6" s="1"/>
  <c r="M55" i="6"/>
  <c r="N55" i="6" s="1"/>
  <c r="M54" i="6"/>
  <c r="N54" i="6" s="1"/>
  <c r="M53" i="6"/>
  <c r="N53" i="6" s="1"/>
  <c r="M50" i="6"/>
  <c r="N50" i="6" s="1"/>
  <c r="M49" i="6"/>
  <c r="N49" i="6" s="1"/>
  <c r="M48" i="6"/>
  <c r="N48" i="6" s="1"/>
  <c r="O48" i="6" s="1"/>
  <c r="M43" i="6"/>
  <c r="N43" i="6" s="1"/>
  <c r="O43" i="6" s="1"/>
  <c r="M39" i="6"/>
  <c r="N39" i="6" s="1"/>
  <c r="O39" i="6" s="1"/>
  <c r="M38" i="6"/>
  <c r="N38" i="6" s="1"/>
  <c r="O38" i="6" s="1"/>
  <c r="M36" i="6"/>
  <c r="N36" i="6" s="1"/>
  <c r="O36" i="6" s="1"/>
  <c r="M33" i="6"/>
  <c r="N33" i="6" s="1"/>
  <c r="O33" i="6" s="1"/>
  <c r="M32" i="6"/>
  <c r="N32" i="6" s="1"/>
  <c r="O32" i="6" s="1"/>
  <c r="M31" i="6"/>
  <c r="N31" i="6" s="1"/>
  <c r="O31" i="6" s="1"/>
  <c r="M30" i="6"/>
  <c r="N30" i="6" s="1"/>
  <c r="O30" i="6" s="1"/>
  <c r="M29" i="6"/>
  <c r="N29" i="6" s="1"/>
  <c r="O29" i="6" s="1"/>
  <c r="M27" i="6"/>
  <c r="N27" i="6" s="1"/>
  <c r="O27" i="6" s="1"/>
  <c r="M24" i="6"/>
  <c r="N24" i="6" s="1"/>
  <c r="O24" i="6" s="1"/>
  <c r="M23" i="6"/>
  <c r="N23" i="6" s="1"/>
  <c r="O23" i="6" s="1"/>
  <c r="M22" i="6"/>
  <c r="N22" i="6" s="1"/>
  <c r="O22" i="6" s="1"/>
  <c r="M20" i="6"/>
  <c r="N20" i="6" s="1"/>
  <c r="O20" i="6" s="1"/>
  <c r="M15" i="6"/>
  <c r="N15" i="6" s="1"/>
  <c r="O15" i="6" s="1"/>
  <c r="M8" i="6"/>
  <c r="N8" i="6" s="1"/>
  <c r="O8" i="6" s="1"/>
  <c r="M7" i="6"/>
  <c r="N7" i="6" s="1"/>
  <c r="O7" i="6" s="1"/>
  <c r="M47" i="6" l="1"/>
  <c r="N47" i="6" s="1"/>
  <c r="O47" i="6" s="1"/>
  <c r="M9" i="6"/>
  <c r="M62" i="6"/>
  <c r="N62" i="6" s="1"/>
  <c r="O62" i="6" s="1"/>
  <c r="M17" i="6"/>
  <c r="N17" i="6" s="1"/>
  <c r="O17" i="6" s="1"/>
  <c r="M59" i="6"/>
  <c r="N59" i="6" s="1"/>
  <c r="O59" i="6" s="1"/>
  <c r="M51" i="6"/>
  <c r="N51" i="6" s="1"/>
  <c r="O51" i="6" s="1"/>
  <c r="M52" i="6"/>
  <c r="N52" i="6" s="1"/>
  <c r="O52" i="6" s="1"/>
  <c r="M61" i="6"/>
  <c r="N61" i="6" s="1"/>
  <c r="O61" i="6" s="1"/>
  <c r="M12" i="6"/>
  <c r="N12" i="6" s="1"/>
  <c r="O12" i="6" s="1"/>
  <c r="M35" i="6"/>
  <c r="N35" i="6" s="1"/>
  <c r="O35" i="6" s="1"/>
  <c r="M28" i="6"/>
  <c r="N28" i="6" s="1"/>
  <c r="O28" i="6" s="1"/>
  <c r="M40" i="6"/>
  <c r="N40" i="6" s="1"/>
  <c r="O40" i="6" s="1"/>
  <c r="M37" i="6"/>
  <c r="N37" i="6" s="1"/>
  <c r="O37" i="6" s="1"/>
  <c r="M46" i="6"/>
  <c r="N46" i="6" s="1"/>
  <c r="O46" i="6" s="1"/>
  <c r="M21" i="6"/>
  <c r="N21" i="6" s="1"/>
  <c r="O21" i="6" s="1"/>
  <c r="M18" i="6"/>
  <c r="N18" i="6" s="1"/>
  <c r="O18" i="6" s="1"/>
  <c r="M14" i="6"/>
  <c r="N14" i="6" s="1"/>
  <c r="O14" i="6" s="1"/>
  <c r="O55" i="6"/>
  <c r="O50" i="6"/>
  <c r="O49" i="6"/>
  <c r="O53" i="6"/>
  <c r="M42" i="6"/>
  <c r="N42" i="6" s="1"/>
  <c r="O42" i="6" s="1"/>
  <c r="O54" i="6"/>
  <c r="O60" i="6"/>
  <c r="N9" i="6" l="1"/>
  <c r="O9" i="6" l="1"/>
</calcChain>
</file>

<file path=xl/sharedStrings.xml><?xml version="1.0" encoding="utf-8"?>
<sst xmlns="http://schemas.openxmlformats.org/spreadsheetml/2006/main" count="114" uniqueCount="91">
  <si>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</si>
  <si>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</si>
  <si>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</si>
  <si>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</si>
  <si>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</si>
  <si>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</si>
  <si>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</si>
  <si>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</si>
  <si>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</si>
  <si>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</si>
  <si>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</si>
  <si>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</si>
  <si>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</si>
  <si>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IRAN LUIZ CORDEIRO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</si>
  <si>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</si>
  <si>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</si>
  <si>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</si>
  <si>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</si>
  <si>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</si>
  <si>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</si>
  <si>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</si>
  <si>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</si>
  <si>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</si>
  <si>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</si>
  <si>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</si>
  <si>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</si>
  <si>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</si>
  <si>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</si>
  <si>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</si>
  <si>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</si>
  <si>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</si>
  <si>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</si>
  <si>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</si>
  <si>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</si>
  <si>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</si>
  <si>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</si>
  <si>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</si>
  <si>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</si>
  <si>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</si>
  <si>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</si>
  <si>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</si>
  <si>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</si>
  <si>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</si>
  <si>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</si>
  <si>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</si>
  <si>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</si>
  <si>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</si>
  <si>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</si>
  <si>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</si>
  <si>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</si>
  <si>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</si>
  <si>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</si>
  <si>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</si>
  <si>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</si>
  <si>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</si>
  <si>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</si>
  <si>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</si>
  <si>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</si>
  <si>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</si>
  <si>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</si>
  <si>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</si>
  <si>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</si>
  <si>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</si>
  <si>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</si>
  <si>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</si>
  <si>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</si>
  <si>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</si>
  <si>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</si>
  <si>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</si>
  <si>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</si>
  <si>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</si>
  <si>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</si>
  <si>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</si>
  <si>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</si>
  <si>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</si>
  <si>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t>sendo descontado do funcionário o percentual de 0,50% (meio por cento) sobre o valor total dos vales fornecidos no período.</t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</si>
  <si>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</si>
  <si>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A concessão do vale alimentação e/ou vale refeição aos funcionários do CRCPR é realizada por meio de cartão magnético. O benefício é disponibilizado mensalmente no valor de R$ 46,50 (quarenta e um reais) recebidos por 22 dias mensais,</t>
  </si>
  <si>
    <t>GUSTAVO ELIAS MUENZ</t>
  </si>
  <si>
    <t>MARÇO/2021</t>
  </si>
  <si>
    <t>Indenização</t>
  </si>
  <si>
    <t>PDV</t>
  </si>
  <si>
    <r>
      <rPr>
        <b/>
        <u/>
        <sz val="11"/>
        <color theme="1"/>
        <rFont val="Calibri"/>
        <family val="2"/>
        <scheme val="minor"/>
      </rPr>
      <t>A Resolução CRCPR nº 822/2020</t>
    </r>
    <r>
      <rPr>
        <sz val="11"/>
        <color theme="1"/>
        <rFont val="Calibri"/>
        <family val="2"/>
        <scheme val="minor"/>
      </rPr>
      <t xml:space="preserve"> instituiu o programa de demissão voluntária (PDV) dos funcionários do CRCPR, onde os funcionários Adilson Fernando Castro, Cristina Aparecida Medeiros Dias, Joselda Mara Velho, Luiz Cesar Almeida, Pedro Hugo Catossi e Vera Alice Almeida Rempel</t>
    </r>
  </si>
  <si>
    <t>aderiram ao referido PDV.</t>
  </si>
  <si>
    <r>
      <t xml:space="preserve">ADILSON FERNANDO CASTRO                   </t>
    </r>
    <r>
      <rPr>
        <sz val="11"/>
        <color rgb="FFFF0000"/>
        <rFont val="Calibri"/>
        <family val="2"/>
        <scheme val="minor"/>
      </rPr>
      <t>(ADERIU AO PDV 2020)</t>
    </r>
  </si>
  <si>
    <r>
      <t xml:space="preserve">CRISTINA APARECIDA MEDEIROS DIAS     </t>
    </r>
    <r>
      <rPr>
        <sz val="11"/>
        <color rgb="FFFF0000"/>
        <rFont val="Calibri"/>
        <family val="2"/>
        <scheme val="minor"/>
      </rPr>
      <t>(ADERIU AO PDV 2020)</t>
    </r>
  </si>
  <si>
    <r>
      <t xml:space="preserve">JOSELDA MARA VELHO                                    </t>
    </r>
    <r>
      <rPr>
        <sz val="11"/>
        <color rgb="FFFF0000"/>
        <rFont val="Calibri"/>
        <family val="2"/>
        <scheme val="minor"/>
      </rPr>
      <t>(ADERIU AO PDV 2020)</t>
    </r>
  </si>
  <si>
    <r>
      <t xml:space="preserve">LUIZ CESAR ALMEIDA                                        </t>
    </r>
    <r>
      <rPr>
        <sz val="11"/>
        <color rgb="FFFF0000"/>
        <rFont val="Calibri"/>
        <family val="2"/>
        <scheme val="minor"/>
      </rPr>
      <t>(ADERIU AO PDV 2020)</t>
    </r>
  </si>
  <si>
    <r>
      <t xml:space="preserve">PEDRO HUGO CATOSSI                                    </t>
    </r>
    <r>
      <rPr>
        <sz val="11"/>
        <color rgb="FFFF0000"/>
        <rFont val="Calibri"/>
        <family val="2"/>
        <scheme val="minor"/>
      </rPr>
      <t>(ADERIU AO PDV 2020)</t>
    </r>
  </si>
  <si>
    <r>
      <t xml:space="preserve">VERA ALICE ALMEIDA REMPEL                      </t>
    </r>
    <r>
      <rPr>
        <sz val="11"/>
        <color rgb="FFFF0000"/>
        <rFont val="Calibri"/>
        <family val="2"/>
        <scheme val="minor"/>
      </rPr>
      <t>(ADERIU AO PDV 2020)</t>
    </r>
  </si>
  <si>
    <r>
      <t xml:space="preserve">ALESSANDRO LUIZ STAMATTO FERREIRA </t>
    </r>
    <r>
      <rPr>
        <sz val="11"/>
        <color rgb="FFFF0000"/>
        <rFont val="Calibri"/>
        <family val="2"/>
        <scheme val="minor"/>
      </rPr>
      <t>(PEDIU DESLIGAMENTO)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</si>
</sst>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5">
    <xf numFmtId="0" fontId="0" fillId="0" borderId="0" xfId="0"/>
    <xf numFmtId="164" fontId="0" fillId="0" borderId="0" xfId="0" applyNumberFormat="1"/>
    <xf numFmtId="164" fontId="0" fillId="0" borderId="0" xfId="0" applyNumberFormat="1" applyFill="1"/>
    <xf numFmtId="164" fontId="0" fillId="0" borderId="3" xfId="0" applyNumberFormat="1" applyFill="1" applyBorder="1"/>
    <xf numFmtId="164" fontId="0" fillId="0" borderId="0" xfId="0" applyNumberFormat="1" applyFill="1" applyProtection="1">
      <protection locked="0"/>
    </xf>
    <xf numFmtId="164" fontId="0" fillId="0" borderId="3" xfId="0" applyNumberFormat="1" applyFill="1" applyBorder="1" applyProtection="1">
      <protection locked="0"/>
    </xf>
    <xf numFmtId="0" fontId="7" fillId="0" borderId="2" xfId="0" applyFont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6" xfId="0" applyNumberFormat="1" applyFill="1" applyBorder="1" applyProtection="1">
      <protection locked="0"/>
    </xf>
    <xf numFmtId="164" fontId="0" fillId="0" borderId="16" xfId="0" applyNumberFormat="1" applyFill="1" applyBorder="1"/>
    <xf numFmtId="164" fontId="1" fillId="4" borderId="5" xfId="0" applyNumberFormat="1" applyFont="1" applyFill="1" applyBorder="1"/>
    <xf numFmtId="164" fontId="1" fillId="4" borderId="6" xfId="0" applyNumberFormat="1" applyFont="1" applyFill="1" applyBorder="1"/>
    <xf numFmtId="164" fontId="1" fillId="4" borderId="17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4" borderId="6" xfId="0" applyNumberFormat="1" applyFont="1" applyFill="1" applyBorder="1" applyProtection="1">
      <protection locked="0"/>
    </xf>
    <xf numFmtId="164" fontId="1" fillId="4" borderId="4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0" fontId="0" fillId="0" borderId="12" xfId="0" applyBorder="1"/>
    <xf numFmtId="0" fontId="0" fillId="0" borderId="18" xfId="0" applyBorder="1"/>
    <xf numFmtId="0" fontId="0" fillId="0" borderId="19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164" fontId="1" fillId="2" borderId="22" xfId="0" applyNumberFormat="1" applyFont="1" applyFill="1" applyBorder="1"/>
    <xf numFmtId="164" fontId="1" fillId="2" borderId="23" xfId="0" applyNumberFormat="1" applyFont="1" applyFill="1" applyBorder="1"/>
    <xf numFmtId="0" fontId="1" fillId="3" borderId="17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4" fillId="0" borderId="0" xfId="0" applyFont="1" applyAlignment="1" applyProtection="1">
      <protection locked="0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64" fontId="1" fillId="0" borderId="0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26" xfId="0" applyNumberFormat="1" applyFont="1" applyFill="1" applyBorder="1" applyProtection="1">
      <protection locked="0"/>
    </xf>
    <xf numFmtId="164" fontId="1" fillId="0" borderId="27" xfId="0" applyNumberFormat="1" applyFont="1" applyFill="1" applyBorder="1" applyProtection="1">
      <protection locked="0"/>
    </xf>
    <xf numFmtId="164" fontId="1" fillId="0" borderId="16" xfId="0" applyNumberFormat="1" applyFont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6" xfId="0" applyNumberFormat="1" applyFont="1" applyBorder="1" applyProtection="1">
      <protection locked="0"/>
    </xf>
    <xf numFmtId="164" fontId="1" fillId="0" borderId="16" xfId="0" applyNumberFormat="1" applyFont="1" applyBorder="1" applyAlignment="1" applyProtection="1">
      <alignment horizontal="right"/>
      <protection locked="0"/>
    </xf>
    <xf numFmtId="49" fontId="6" fillId="2" borderId="9" xfId="0" applyNumberFormat="1" applyFont="1" applyFill="1" applyBorder="1" applyAlignment="1"/>
    <xf numFmtId="164" fontId="1" fillId="0" borderId="26" xfId="0" applyNumberFormat="1" applyFont="1" applyBorder="1" applyAlignment="1" applyProtection="1">
      <alignment horizontal="center"/>
      <protection locked="0"/>
    </xf>
    <xf numFmtId="164" fontId="1" fillId="0" borderId="27" xfId="0" applyNumberFormat="1" applyFont="1" applyBorder="1" applyAlignment="1" applyProtection="1">
      <alignment horizontal="center"/>
      <protection locked="0"/>
    </xf>
    <xf numFmtId="164" fontId="1" fillId="4" borderId="17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3" borderId="10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4" borderId="12" xfId="0" applyFont="1" applyFill="1" applyBorder="1" applyAlignment="1" applyProtection="1">
      <alignment horizontal="left"/>
      <protection locked="0"/>
    </xf>
    <xf numFmtId="0" fontId="2" fillId="4" borderId="0" xfId="0" applyFont="1" applyFill="1" applyBorder="1" applyAlignment="1" applyProtection="1">
      <alignment horizontal="left"/>
      <protection locked="0"/>
    </xf>
    <xf numFmtId="0" fontId="2" fillId="4" borderId="13" xfId="0" applyFont="1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10" fillId="4" borderId="12" xfId="0" applyFont="1" applyFill="1" applyBorder="1" applyAlignment="1" applyProtection="1">
      <alignment horizontal="left"/>
      <protection locked="0"/>
    </xf>
    <xf numFmtId="0" fontId="10" fillId="4" borderId="0" xfId="0" applyFont="1" applyFill="1" applyBorder="1" applyAlignment="1" applyProtection="1">
      <alignment horizontal="left"/>
      <protection locked="0"/>
    </xf>
    <xf numFmtId="0" fontId="10" fillId="4" borderId="13" xfId="0" applyFont="1" applyFill="1" applyBorder="1" applyAlignment="1" applyProtection="1">
      <alignment horizontal="left"/>
      <protection locked="0"/>
    </xf>
    <xf numFmtId="0" fontId="0" fillId="4" borderId="12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3" xfId="0" applyFont="1" applyFill="1" applyBorder="1" applyAlignment="1" applyProtection="1">
      <alignment horizontal="left"/>
      <protection locked="0"/>
    </xf>
    <xf numFmtId="0" fontId="2" fillId="4" borderId="10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2" fillId="4" borderId="11" xfId="0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0" fillId="4" borderId="14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5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8"/>
  <sheetViews>
    <sheetView tabSelected="1" zoomScaleNormal="100" workbookViewId="0">
      <pane xSplit="1" ySplit="6" topLeftCell="C7" activePane="bottomRight" state="frozen"/>
      <selection pane="topRight" activeCell="B1" sqref="B1"/>
      <selection pane="bottomLeft" activeCell="A7" sqref="A7"/>
      <selection pane="bottomRight" activeCell="I90" sqref="I90"/>
    </sheetView>
  </sheetViews>
  <sheetFormatPr defaultRowHeight="15" outlineLevelCol="1" x14ac:dyDescent="0.25"/>
  <cols>
    <col min="1" max="1" width="57" customWidth="1"/>
    <col min="2" max="3" width="14.7109375" customWidth="1"/>
    <col min="4" max="5" width="13.5703125" customWidth="1"/>
    <col min="6" max="6" width="18.85546875" customWidth="1"/>
    <col min="7" max="7" width="13.5703125" customWidth="1"/>
    <col min="8" max="9" width="15.7109375" customWidth="1"/>
    <col min="10" max="10" width="14.140625" customWidth="1"/>
    <col min="11" max="11" width="11.5703125" customWidth="1"/>
    <col min="12" max="12" width="10.7109375" customWidth="1"/>
    <col min="13" max="14" width="10.42578125" customWidth="1"/>
    <col min="15" max="15" width="14" customWidth="1"/>
    <col min="16" max="16" width="1.42578125" customWidth="1"/>
    <col min="17" max="17" width="15.85546875" hidden="1" customWidth="1" outlineLevel="1"/>
    <col min="18" max="18" width="9.140625" collapsed="1"/>
  </cols>
  <sheetData>
    <row r="1" spans="1:18" ht="16.5" x14ac:dyDescent="0.25">
      <c r="A1" s="54" t="s">
        <v>51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8" ht="16.5" x14ac:dyDescent="0.25">
      <c r="A2" s="54" t="s">
        <v>52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8" ht="4.5" customHeight="1" thickBot="1" x14ac:dyDescent="0.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8" ht="19.5" thickBot="1" x14ac:dyDescent="0.35">
      <c r="A4" s="50" t="s">
        <v>79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8" x14ac:dyDescent="0.25">
      <c r="A5" s="56" t="s">
        <v>50</v>
      </c>
      <c r="B5" s="58" t="s">
        <v>40</v>
      </c>
      <c r="C5" s="62" t="s">
        <v>66</v>
      </c>
      <c r="D5" s="60" t="s">
        <v>41</v>
      </c>
      <c r="E5" s="60" t="s">
        <v>67</v>
      </c>
      <c r="F5" s="33" t="s">
        <v>68</v>
      </c>
      <c r="G5" s="36" t="s">
        <v>70</v>
      </c>
      <c r="H5" s="7" t="s">
        <v>53</v>
      </c>
      <c r="I5" s="7" t="s">
        <v>80</v>
      </c>
      <c r="J5" s="25" t="s">
        <v>42</v>
      </c>
      <c r="K5" s="60" t="s">
        <v>44</v>
      </c>
      <c r="L5" s="60" t="s">
        <v>45</v>
      </c>
      <c r="M5" s="7" t="s">
        <v>46</v>
      </c>
      <c r="N5" s="7" t="s">
        <v>48</v>
      </c>
      <c r="O5" s="27" t="s">
        <v>42</v>
      </c>
    </row>
    <row r="6" spans="1:18" ht="15.75" thickBot="1" x14ac:dyDescent="0.3">
      <c r="A6" s="57"/>
      <c r="B6" s="59"/>
      <c r="C6" s="63"/>
      <c r="D6" s="61"/>
      <c r="E6" s="61"/>
      <c r="F6" s="35" t="s">
        <v>69</v>
      </c>
      <c r="G6" s="37" t="s">
        <v>55</v>
      </c>
      <c r="H6" s="8" t="s">
        <v>54</v>
      </c>
      <c r="I6" s="8" t="s">
        <v>81</v>
      </c>
      <c r="J6" s="26" t="s">
        <v>43</v>
      </c>
      <c r="K6" s="61"/>
      <c r="L6" s="61"/>
      <c r="M6" s="8" t="s">
        <v>47</v>
      </c>
      <c r="N6" s="8" t="s">
        <v>47</v>
      </c>
      <c r="O6" s="28" t="s">
        <v>49</v>
      </c>
    </row>
    <row r="7" spans="1:18" x14ac:dyDescent="0.25">
      <c r="A7" s="18" t="s">
        <v>84</v>
      </c>
      <c r="B7" s="13">
        <f>346.08+169.58</f>
        <v>515.66</v>
      </c>
      <c r="C7" s="38">
        <v>138.43</v>
      </c>
      <c r="D7" s="43"/>
      <c r="E7" s="43">
        <v>28343.59</v>
      </c>
      <c r="F7" s="43"/>
      <c r="G7" s="43">
        <v>3270.41</v>
      </c>
      <c r="H7" s="44"/>
      <c r="I7" s="44">
        <v>672560.84</v>
      </c>
      <c r="J7" s="53">
        <f>SUM(B7:I7)</f>
        <v>704828.92999999993</v>
      </c>
      <c r="K7" s="4">
        <v>65.02</v>
      </c>
      <c r="L7" s="4">
        <v>358.89</v>
      </c>
      <c r="M7" s="3">
        <f t="shared" ref="M7:M13" si="0">J7-K7-L7-Q7</f>
        <v>617.80999999993946</v>
      </c>
      <c r="N7" s="2">
        <f>SUM(K7:M7)</f>
        <v>1041.7199999999393</v>
      </c>
      <c r="O7" s="21">
        <f>SUM(J7-N7)</f>
        <v>703787.21</v>
      </c>
      <c r="P7" s="29"/>
      <c r="Q7" s="30">
        <v>703787.21</v>
      </c>
    </row>
    <row r="8" spans="1:18" x14ac:dyDescent="0.25">
      <c r="A8" s="19" t="s">
        <v>0</v>
      </c>
      <c r="B8" s="14">
        <v>5359.33</v>
      </c>
      <c r="C8" s="39"/>
      <c r="D8" s="45"/>
      <c r="E8" s="45"/>
      <c r="F8" s="45"/>
      <c r="G8" s="45"/>
      <c r="H8" s="46"/>
      <c r="I8" s="46"/>
      <c r="J8" s="11">
        <f t="shared" ref="J8:J14" si="1">SUM(B8:H8)</f>
        <v>5359.33</v>
      </c>
      <c r="K8" s="5">
        <v>439.02</v>
      </c>
      <c r="L8" s="5">
        <v>601.58000000000004</v>
      </c>
      <c r="M8" s="3">
        <f t="shared" si="0"/>
        <v>41.059999999999491</v>
      </c>
      <c r="N8" s="3">
        <f t="shared" ref="N8:N66" si="2">SUM(K8:M8)</f>
        <v>1081.6599999999994</v>
      </c>
      <c r="O8" s="22">
        <f t="shared" ref="O8:O66" si="3">SUM(J8-N8)</f>
        <v>4277.67</v>
      </c>
      <c r="P8" s="29"/>
      <c r="Q8" s="30">
        <v>4277.67</v>
      </c>
    </row>
    <row r="9" spans="1:18" x14ac:dyDescent="0.25">
      <c r="A9" s="19" t="s">
        <v>1</v>
      </c>
      <c r="B9" s="14">
        <v>2482.0100000000002</v>
      </c>
      <c r="C9" s="39"/>
      <c r="D9" s="45"/>
      <c r="E9" s="45"/>
      <c r="F9" s="45"/>
      <c r="G9" s="45"/>
      <c r="H9" s="46"/>
      <c r="I9" s="46"/>
      <c r="J9" s="11">
        <f t="shared" si="1"/>
        <v>2482.0100000000002</v>
      </c>
      <c r="K9" s="5"/>
      <c r="L9" s="5">
        <v>215.23</v>
      </c>
      <c r="M9" s="3">
        <f t="shared" si="0"/>
        <v>1183.5800000000002</v>
      </c>
      <c r="N9" s="3">
        <f t="shared" si="2"/>
        <v>1398.8100000000002</v>
      </c>
      <c r="O9" s="22">
        <f t="shared" si="3"/>
        <v>1083.2</v>
      </c>
      <c r="P9" s="29"/>
      <c r="Q9" s="30">
        <v>1083.2</v>
      </c>
    </row>
    <row r="10" spans="1:18" x14ac:dyDescent="0.25">
      <c r="A10" s="19" t="s">
        <v>90</v>
      </c>
      <c r="B10" s="14">
        <f>4054.84+81.1</f>
        <v>4135.9400000000005</v>
      </c>
      <c r="C10" s="39"/>
      <c r="D10" s="45"/>
      <c r="E10" s="45">
        <f>359.52+4229.67+84.59+1557.93</f>
        <v>6231.7100000000009</v>
      </c>
      <c r="F10" s="45"/>
      <c r="G10" s="45">
        <v>1078.57</v>
      </c>
      <c r="H10" s="46"/>
      <c r="I10" s="46"/>
      <c r="J10" s="11">
        <f t="shared" si="1"/>
        <v>11446.220000000001</v>
      </c>
      <c r="K10" s="5">
        <v>201.04</v>
      </c>
      <c r="L10" s="5">
        <f>430.31+80.89</f>
        <v>511.2</v>
      </c>
      <c r="M10" s="3">
        <f t="shared" ref="M10" si="4">J10-K10-L10-Q10</f>
        <v>41.059999999999491</v>
      </c>
      <c r="N10" s="3">
        <f t="shared" ref="N10" si="5">SUM(K10:M10)</f>
        <v>753.2999999999995</v>
      </c>
      <c r="O10" s="22">
        <f t="shared" ref="O10" si="6">SUM(J10-N10)</f>
        <v>10692.920000000002</v>
      </c>
      <c r="P10" s="29"/>
      <c r="Q10" s="30">
        <v>10692.92</v>
      </c>
    </row>
    <row r="11" spans="1:18" x14ac:dyDescent="0.25">
      <c r="A11" s="19" t="s">
        <v>59</v>
      </c>
      <c r="B11" s="14">
        <v>1911.14</v>
      </c>
      <c r="C11" s="39">
        <v>1000</v>
      </c>
      <c r="D11" s="45"/>
      <c r="E11" s="45"/>
      <c r="F11" s="45"/>
      <c r="G11" s="45"/>
      <c r="H11" s="46"/>
      <c r="I11" s="46"/>
      <c r="J11" s="11">
        <f t="shared" si="1"/>
        <v>2911.1400000000003</v>
      </c>
      <c r="K11" s="5">
        <v>55.53</v>
      </c>
      <c r="L11" s="5">
        <v>266.72000000000003</v>
      </c>
      <c r="M11" s="3">
        <f t="shared" si="0"/>
        <v>96.790000000000418</v>
      </c>
      <c r="N11" s="3">
        <f t="shared" si="2"/>
        <v>419.04000000000042</v>
      </c>
      <c r="O11" s="22">
        <f t="shared" si="3"/>
        <v>2492.1</v>
      </c>
      <c r="P11" s="29"/>
      <c r="Q11" s="30">
        <v>2492.1</v>
      </c>
    </row>
    <row r="12" spans="1:18" x14ac:dyDescent="0.25">
      <c r="A12" s="19" t="s">
        <v>2</v>
      </c>
      <c r="B12" s="14">
        <v>2664.07</v>
      </c>
      <c r="C12" s="39"/>
      <c r="D12" s="45"/>
      <c r="E12" s="45"/>
      <c r="F12" s="45"/>
      <c r="G12" s="45"/>
      <c r="H12" s="46"/>
      <c r="I12" s="46"/>
      <c r="J12" s="11">
        <f t="shared" si="1"/>
        <v>2664.07</v>
      </c>
      <c r="K12" s="5">
        <v>25</v>
      </c>
      <c r="L12" s="5">
        <v>237.08</v>
      </c>
      <c r="M12" s="3">
        <f t="shared" si="0"/>
        <v>996.19000000000028</v>
      </c>
      <c r="N12" s="3">
        <f t="shared" si="2"/>
        <v>1258.2700000000004</v>
      </c>
      <c r="O12" s="22">
        <f>SUM(J12-N12)+G12</f>
        <v>1405.7999999999997</v>
      </c>
      <c r="P12" s="29"/>
      <c r="Q12" s="30">
        <v>1405.8</v>
      </c>
      <c r="R12" s="1"/>
    </row>
    <row r="13" spans="1:18" x14ac:dyDescent="0.25">
      <c r="A13" s="19" t="s">
        <v>3</v>
      </c>
      <c r="B13" s="14">
        <v>3617.77</v>
      </c>
      <c r="C13" s="39"/>
      <c r="D13" s="45"/>
      <c r="E13" s="45"/>
      <c r="F13" s="45"/>
      <c r="G13" s="45"/>
      <c r="H13" s="46"/>
      <c r="I13" s="46"/>
      <c r="J13" s="11">
        <f t="shared" si="1"/>
        <v>3617.77</v>
      </c>
      <c r="K13" s="5">
        <v>105.76</v>
      </c>
      <c r="L13" s="5">
        <v>357.76</v>
      </c>
      <c r="M13" s="3">
        <f t="shared" si="0"/>
        <v>1014.1599999999999</v>
      </c>
      <c r="N13" s="3">
        <f t="shared" si="2"/>
        <v>1477.6799999999998</v>
      </c>
      <c r="O13" s="22">
        <f t="shared" si="3"/>
        <v>2140.09</v>
      </c>
      <c r="P13" s="29"/>
      <c r="Q13" s="30">
        <v>2140.09</v>
      </c>
    </row>
    <row r="14" spans="1:18" x14ac:dyDescent="0.25">
      <c r="A14" s="19" t="s">
        <v>4</v>
      </c>
      <c r="B14" s="14">
        <f>11980.55+6110.08</f>
        <v>18090.629999999997</v>
      </c>
      <c r="C14" s="39">
        <f>1198.06+4792.22</f>
        <v>5990.2800000000007</v>
      </c>
      <c r="D14" s="45"/>
      <c r="E14" s="45"/>
      <c r="F14" s="45"/>
      <c r="G14" s="45"/>
      <c r="H14" s="46"/>
      <c r="I14" s="46"/>
      <c r="J14" s="11">
        <f t="shared" si="1"/>
        <v>24080.909999999996</v>
      </c>
      <c r="K14" s="5">
        <v>5546.1</v>
      </c>
      <c r="L14" s="5">
        <v>751.97</v>
      </c>
      <c r="M14" s="3">
        <f>J14-K14-L14-Q14</f>
        <v>104.94999999999709</v>
      </c>
      <c r="N14" s="3">
        <f t="shared" si="2"/>
        <v>6403.0199999999977</v>
      </c>
      <c r="O14" s="22">
        <f t="shared" si="3"/>
        <v>17677.89</v>
      </c>
      <c r="P14" s="29"/>
      <c r="Q14" s="30">
        <v>17677.89</v>
      </c>
    </row>
    <row r="15" spans="1:18" x14ac:dyDescent="0.25">
      <c r="A15" s="19" t="s">
        <v>85</v>
      </c>
      <c r="B15" s="14">
        <v>465.98</v>
      </c>
      <c r="C15" s="39">
        <v>69.14</v>
      </c>
      <c r="D15" s="45"/>
      <c r="E15" s="45">
        <v>39241.51</v>
      </c>
      <c r="F15" s="45"/>
      <c r="G15" s="45">
        <v>2675.56</v>
      </c>
      <c r="H15" s="46"/>
      <c r="I15" s="46">
        <v>431032.45</v>
      </c>
      <c r="J15" s="11">
        <f>SUM(B15:I15)</f>
        <v>473484.64</v>
      </c>
      <c r="K15" s="5">
        <v>25.76</v>
      </c>
      <c r="L15" s="5">
        <v>278.58</v>
      </c>
      <c r="M15" s="3">
        <f t="shared" ref="M15:M43" si="7">J15-K15-L15-Q15</f>
        <v>189.20000000001164</v>
      </c>
      <c r="N15" s="3">
        <f t="shared" si="2"/>
        <v>493.54000000001162</v>
      </c>
      <c r="O15" s="22">
        <f t="shared" si="3"/>
        <v>472991.1</v>
      </c>
      <c r="P15" s="29"/>
      <c r="Q15" s="30">
        <v>472991.1</v>
      </c>
    </row>
    <row r="16" spans="1:18" x14ac:dyDescent="0.25">
      <c r="A16" s="19" t="s">
        <v>5</v>
      </c>
      <c r="B16" s="14">
        <f>11980.55+3522.28</f>
        <v>15502.83</v>
      </c>
      <c r="C16" s="39">
        <v>4792.22</v>
      </c>
      <c r="D16" s="45"/>
      <c r="E16" s="45"/>
      <c r="F16" s="45"/>
      <c r="G16" s="45"/>
      <c r="H16" s="46"/>
      <c r="I16" s="46"/>
      <c r="J16" s="11">
        <f t="shared" ref="J16:J32" si="8">SUM(B16:H16)</f>
        <v>20295.05</v>
      </c>
      <c r="K16" s="5">
        <v>4504.99</v>
      </c>
      <c r="L16" s="5">
        <v>751.97</v>
      </c>
      <c r="M16" s="3">
        <f t="shared" si="7"/>
        <v>107.20000000000073</v>
      </c>
      <c r="N16" s="3">
        <f t="shared" si="2"/>
        <v>5364.1600000000008</v>
      </c>
      <c r="O16" s="22">
        <f t="shared" si="3"/>
        <v>14930.89</v>
      </c>
      <c r="P16" s="29"/>
      <c r="Q16" s="30">
        <v>14930.89</v>
      </c>
    </row>
    <row r="17" spans="1:17" x14ac:dyDescent="0.25">
      <c r="A17" s="19" t="s">
        <v>6</v>
      </c>
      <c r="B17" s="14">
        <v>2456.08</v>
      </c>
      <c r="C17" s="39"/>
      <c r="D17" s="45"/>
      <c r="E17" s="45"/>
      <c r="F17" s="45"/>
      <c r="G17" s="45"/>
      <c r="H17" s="46"/>
      <c r="I17" s="46"/>
      <c r="J17" s="11">
        <f t="shared" si="8"/>
        <v>2456.08</v>
      </c>
      <c r="K17" s="5">
        <v>25.5</v>
      </c>
      <c r="L17" s="5">
        <v>212.12</v>
      </c>
      <c r="M17" s="3">
        <f t="shared" si="7"/>
        <v>17.490000000000236</v>
      </c>
      <c r="N17" s="3">
        <f t="shared" si="2"/>
        <v>255.11000000000024</v>
      </c>
      <c r="O17" s="22">
        <f t="shared" si="3"/>
        <v>2200.9699999999998</v>
      </c>
      <c r="P17" s="29"/>
      <c r="Q17" s="30">
        <v>2200.9699999999998</v>
      </c>
    </row>
    <row r="18" spans="1:17" x14ac:dyDescent="0.25">
      <c r="A18" s="19" t="s">
        <v>7</v>
      </c>
      <c r="B18" s="14">
        <f>1187.61+308.78</f>
        <v>1496.3899999999999</v>
      </c>
      <c r="C18" s="39"/>
      <c r="D18" s="45"/>
      <c r="E18" s="45">
        <f>593.81+154.39+249.4</f>
        <v>997.59999999999991</v>
      </c>
      <c r="F18" s="45"/>
      <c r="G18" s="45"/>
      <c r="H18" s="46"/>
      <c r="I18" s="46"/>
      <c r="J18" s="11">
        <f t="shared" si="8"/>
        <v>2493.9899999999998</v>
      </c>
      <c r="K18" s="5"/>
      <c r="L18" s="5">
        <f>141.85+74.82</f>
        <v>216.67</v>
      </c>
      <c r="M18" s="3">
        <f t="shared" si="7"/>
        <v>1044.6999999999998</v>
      </c>
      <c r="N18" s="3">
        <f t="shared" si="2"/>
        <v>1261.3699999999999</v>
      </c>
      <c r="O18" s="22">
        <f t="shared" si="3"/>
        <v>1232.6199999999999</v>
      </c>
      <c r="P18" s="29"/>
      <c r="Q18" s="30">
        <v>1232.6199999999999</v>
      </c>
    </row>
    <row r="19" spans="1:17" x14ac:dyDescent="0.25">
      <c r="A19" s="19" t="s">
        <v>62</v>
      </c>
      <c r="B19" s="14">
        <v>2722.96</v>
      </c>
      <c r="C19" s="39"/>
      <c r="D19" s="45"/>
      <c r="E19" s="45"/>
      <c r="F19" s="45"/>
      <c r="G19" s="45"/>
      <c r="H19" s="46"/>
      <c r="I19" s="46"/>
      <c r="J19" s="11">
        <f t="shared" si="8"/>
        <v>2722.96</v>
      </c>
      <c r="K19" s="5">
        <v>28.89</v>
      </c>
      <c r="L19" s="5">
        <v>244.14</v>
      </c>
      <c r="M19" s="3">
        <f t="shared" si="7"/>
        <v>251.00000000000045</v>
      </c>
      <c r="N19" s="3">
        <f t="shared" si="2"/>
        <v>524.03000000000043</v>
      </c>
      <c r="O19" s="22">
        <f t="shared" si="3"/>
        <v>2198.9299999999994</v>
      </c>
      <c r="P19" s="29"/>
      <c r="Q19" s="30">
        <v>2198.9299999999998</v>
      </c>
    </row>
    <row r="20" spans="1:17" x14ac:dyDescent="0.25">
      <c r="A20" s="19" t="s">
        <v>8</v>
      </c>
      <c r="B20" s="14">
        <f>5026.06+985.11</f>
        <v>6011.17</v>
      </c>
      <c r="C20" s="39">
        <v>2010.42</v>
      </c>
      <c r="D20" s="45"/>
      <c r="E20" s="45"/>
      <c r="F20" s="45"/>
      <c r="G20" s="45"/>
      <c r="H20" s="46"/>
      <c r="I20" s="46"/>
      <c r="J20" s="11">
        <f t="shared" si="8"/>
        <v>8021.59</v>
      </c>
      <c r="K20" s="5">
        <v>973.37</v>
      </c>
      <c r="L20" s="5">
        <v>751.97</v>
      </c>
      <c r="M20" s="3">
        <f t="shared" si="7"/>
        <v>513.89999999999964</v>
      </c>
      <c r="N20" s="3">
        <f t="shared" si="2"/>
        <v>2239.2399999999998</v>
      </c>
      <c r="O20" s="22">
        <f t="shared" si="3"/>
        <v>5782.35</v>
      </c>
      <c r="P20" s="29"/>
      <c r="Q20" s="30">
        <v>5782.35</v>
      </c>
    </row>
    <row r="21" spans="1:17" x14ac:dyDescent="0.25">
      <c r="A21" s="19" t="s">
        <v>9</v>
      </c>
      <c r="B21" s="14">
        <f>1667.71+133.42</f>
        <v>1801.13</v>
      </c>
      <c r="C21" s="39"/>
      <c r="D21" s="45"/>
      <c r="E21" s="45">
        <f>606.44+48.52+218.32</f>
        <v>873.28</v>
      </c>
      <c r="F21" s="45"/>
      <c r="G21" s="45"/>
      <c r="H21" s="46"/>
      <c r="I21" s="46"/>
      <c r="J21" s="11">
        <f t="shared" si="8"/>
        <v>2674.41</v>
      </c>
      <c r="K21" s="5"/>
      <c r="L21" s="5">
        <f>166.33+71.99</f>
        <v>238.32</v>
      </c>
      <c r="M21" s="3">
        <f t="shared" si="7"/>
        <v>807.40999999999963</v>
      </c>
      <c r="N21" s="3">
        <f t="shared" si="2"/>
        <v>1045.7299999999996</v>
      </c>
      <c r="O21" s="22">
        <f t="shared" si="3"/>
        <v>1628.6800000000003</v>
      </c>
      <c r="P21" s="29"/>
      <c r="Q21" s="30">
        <v>1628.68</v>
      </c>
    </row>
    <row r="22" spans="1:17" x14ac:dyDescent="0.25">
      <c r="A22" s="19" t="s">
        <v>10</v>
      </c>
      <c r="B22" s="14">
        <f>13212.02+7451.58</f>
        <v>20663.599999999999</v>
      </c>
      <c r="C22" s="39">
        <v>17836.23</v>
      </c>
      <c r="D22" s="45"/>
      <c r="E22" s="45"/>
      <c r="F22" s="45"/>
      <c r="G22" s="45"/>
      <c r="H22" s="46"/>
      <c r="I22" s="46"/>
      <c r="J22" s="11">
        <f t="shared" si="8"/>
        <v>38499.83</v>
      </c>
      <c r="K22" s="5">
        <v>9511.2999999999993</v>
      </c>
      <c r="L22" s="5">
        <v>751.97</v>
      </c>
      <c r="M22" s="3">
        <f t="shared" si="7"/>
        <v>285.30000000000291</v>
      </c>
      <c r="N22" s="3">
        <f t="shared" si="2"/>
        <v>10548.570000000002</v>
      </c>
      <c r="O22" s="22">
        <f t="shared" si="3"/>
        <v>27951.260000000002</v>
      </c>
      <c r="P22" s="29"/>
      <c r="Q22" s="30">
        <v>27951.26</v>
      </c>
    </row>
    <row r="23" spans="1:17" x14ac:dyDescent="0.25">
      <c r="A23" s="19" t="s">
        <v>11</v>
      </c>
      <c r="B23" s="14">
        <f>11980.55+3737.93</f>
        <v>15718.48</v>
      </c>
      <c r="C23" s="39">
        <v>2396.11</v>
      </c>
      <c r="D23" s="45"/>
      <c r="E23" s="45"/>
      <c r="F23" s="45"/>
      <c r="G23" s="45"/>
      <c r="H23" s="46"/>
      <c r="I23" s="46"/>
      <c r="J23" s="11">
        <f t="shared" si="8"/>
        <v>18114.59</v>
      </c>
      <c r="K23" s="5">
        <v>3853.22</v>
      </c>
      <c r="L23" s="5">
        <v>751.97</v>
      </c>
      <c r="M23" s="3">
        <f t="shared" si="7"/>
        <v>1671.3600000000006</v>
      </c>
      <c r="N23" s="3">
        <f t="shared" si="2"/>
        <v>6276.55</v>
      </c>
      <c r="O23" s="22">
        <f t="shared" si="3"/>
        <v>11838.04</v>
      </c>
      <c r="P23" s="29"/>
      <c r="Q23" s="30">
        <v>11838.04</v>
      </c>
    </row>
    <row r="24" spans="1:17" x14ac:dyDescent="0.25">
      <c r="A24" s="19" t="s">
        <v>12</v>
      </c>
      <c r="B24" s="14">
        <v>6364.31</v>
      </c>
      <c r="C24" s="39"/>
      <c r="D24" s="45"/>
      <c r="E24" s="45"/>
      <c r="F24" s="45"/>
      <c r="G24" s="45"/>
      <c r="H24" s="46"/>
      <c r="I24" s="46"/>
      <c r="J24" s="11">
        <f t="shared" si="8"/>
        <v>6364.31</v>
      </c>
      <c r="K24" s="5">
        <v>572.41999999999996</v>
      </c>
      <c r="L24" s="5">
        <v>742.28</v>
      </c>
      <c r="M24" s="3">
        <f t="shared" si="7"/>
        <v>1321.1600000000008</v>
      </c>
      <c r="N24" s="3">
        <f t="shared" si="2"/>
        <v>2635.8600000000006</v>
      </c>
      <c r="O24" s="22">
        <f t="shared" si="3"/>
        <v>3728.45</v>
      </c>
      <c r="P24" s="29"/>
      <c r="Q24" s="30">
        <v>3728.45</v>
      </c>
    </row>
    <row r="25" spans="1:17" x14ac:dyDescent="0.25">
      <c r="A25" s="19" t="s">
        <v>78</v>
      </c>
      <c r="B25" s="14">
        <v>1755.42</v>
      </c>
      <c r="C25" s="39"/>
      <c r="D25" s="45"/>
      <c r="E25" s="45"/>
      <c r="F25" s="45"/>
      <c r="G25" s="45"/>
      <c r="H25" s="46"/>
      <c r="I25" s="46"/>
      <c r="J25" s="11">
        <f t="shared" si="8"/>
        <v>1755.42</v>
      </c>
      <c r="K25" s="5"/>
      <c r="L25" s="5">
        <v>141.47999999999999</v>
      </c>
      <c r="M25" s="3">
        <f t="shared" ref="M25" si="9">J25-K25-L25-Q25</f>
        <v>6.1200000000001182</v>
      </c>
      <c r="N25" s="3">
        <f t="shared" ref="N25" si="10">SUM(K25:M25)</f>
        <v>147.60000000000011</v>
      </c>
      <c r="O25" s="22">
        <f t="shared" ref="O25" si="11">SUM(J25-N25)</f>
        <v>1607.82</v>
      </c>
      <c r="P25" s="29"/>
      <c r="Q25" s="30">
        <v>1607.82</v>
      </c>
    </row>
    <row r="26" spans="1:17" x14ac:dyDescent="0.25">
      <c r="A26" s="19" t="s">
        <v>56</v>
      </c>
      <c r="B26" s="14">
        <v>2860.75</v>
      </c>
      <c r="C26" s="39"/>
      <c r="D26" s="45"/>
      <c r="E26" s="45"/>
      <c r="F26" s="45"/>
      <c r="G26" s="45"/>
      <c r="H26" s="46"/>
      <c r="I26" s="46"/>
      <c r="J26" s="11">
        <f t="shared" si="8"/>
        <v>2860.75</v>
      </c>
      <c r="K26" s="5">
        <v>52.21</v>
      </c>
      <c r="L26" s="5">
        <v>260.68</v>
      </c>
      <c r="M26" s="3">
        <f t="shared" si="7"/>
        <v>104.74000000000024</v>
      </c>
      <c r="N26" s="3">
        <f t="shared" si="2"/>
        <v>417.63000000000022</v>
      </c>
      <c r="O26" s="22">
        <f t="shared" si="3"/>
        <v>2443.12</v>
      </c>
      <c r="P26" s="29"/>
      <c r="Q26" s="30">
        <v>2443.12</v>
      </c>
    </row>
    <row r="27" spans="1:17" x14ac:dyDescent="0.25">
      <c r="A27" s="19" t="s">
        <v>13</v>
      </c>
      <c r="B27" s="14">
        <f>11980.55+3737.93</f>
        <v>15718.48</v>
      </c>
      <c r="C27" s="39">
        <v>2396.11</v>
      </c>
      <c r="D27" s="45"/>
      <c r="E27" s="45"/>
      <c r="F27" s="45"/>
      <c r="G27" s="45"/>
      <c r="H27" s="46"/>
      <c r="I27" s="46"/>
      <c r="J27" s="11">
        <f t="shared" si="8"/>
        <v>18114.59</v>
      </c>
      <c r="K27" s="5">
        <v>3853.22</v>
      </c>
      <c r="L27" s="5">
        <v>751.97</v>
      </c>
      <c r="M27" s="3">
        <f t="shared" si="7"/>
        <v>4325.4100000000017</v>
      </c>
      <c r="N27" s="3">
        <f t="shared" si="2"/>
        <v>8930.6000000000022</v>
      </c>
      <c r="O27" s="22">
        <f t="shared" si="3"/>
        <v>9183.989999999998</v>
      </c>
      <c r="P27" s="29"/>
      <c r="Q27" s="30">
        <v>9183.99</v>
      </c>
    </row>
    <row r="28" spans="1:17" x14ac:dyDescent="0.25">
      <c r="A28" s="19" t="s">
        <v>14</v>
      </c>
      <c r="B28" s="14">
        <f>4694.98+1408.5</f>
        <v>6103.48</v>
      </c>
      <c r="C28" s="39"/>
      <c r="D28" s="45"/>
      <c r="E28" s="45">
        <f>521.66+156.5+226.05</f>
        <v>904.21</v>
      </c>
      <c r="F28" s="45"/>
      <c r="G28" s="45"/>
      <c r="H28" s="46"/>
      <c r="I28" s="46"/>
      <c r="J28" s="11">
        <f t="shared" si="8"/>
        <v>7007.69</v>
      </c>
      <c r="K28" s="5">
        <v>524.66</v>
      </c>
      <c r="L28" s="5">
        <f>655.12+96.85</f>
        <v>751.97</v>
      </c>
      <c r="M28" s="3">
        <f t="shared" si="7"/>
        <v>813.47999999999956</v>
      </c>
      <c r="N28" s="3">
        <f t="shared" si="2"/>
        <v>2090.1099999999997</v>
      </c>
      <c r="O28" s="22">
        <f>SUM(J28-N28)+G28</f>
        <v>4917.58</v>
      </c>
      <c r="P28" s="29"/>
      <c r="Q28" s="30">
        <v>4917.58</v>
      </c>
    </row>
    <row r="29" spans="1:17" x14ac:dyDescent="0.25">
      <c r="A29" s="19" t="s">
        <v>15</v>
      </c>
      <c r="B29" s="14">
        <v>7426.39</v>
      </c>
      <c r="C29" s="39"/>
      <c r="D29" s="45"/>
      <c r="E29" s="45"/>
      <c r="F29" s="45"/>
      <c r="G29" s="45"/>
      <c r="H29" s="46"/>
      <c r="I29" s="46"/>
      <c r="J29" s="11">
        <f t="shared" si="8"/>
        <v>7426.39</v>
      </c>
      <c r="K29" s="5">
        <v>966.11</v>
      </c>
      <c r="L29" s="5">
        <f>384.75+367.22</f>
        <v>751.97</v>
      </c>
      <c r="M29" s="3">
        <f t="shared" si="7"/>
        <v>6.1200000000008004</v>
      </c>
      <c r="N29" s="3">
        <f t="shared" si="2"/>
        <v>1724.2000000000007</v>
      </c>
      <c r="O29" s="22">
        <f t="shared" si="3"/>
        <v>5702.19</v>
      </c>
      <c r="P29" s="29"/>
      <c r="Q29" s="30">
        <v>5702.19</v>
      </c>
    </row>
    <row r="30" spans="1:17" x14ac:dyDescent="0.25">
      <c r="A30" s="19" t="s">
        <v>16</v>
      </c>
      <c r="B30" s="14">
        <v>2362.52</v>
      </c>
      <c r="C30" s="39"/>
      <c r="D30" s="45"/>
      <c r="E30" s="45"/>
      <c r="F30" s="45"/>
      <c r="G30" s="45"/>
      <c r="H30" s="46"/>
      <c r="I30" s="46"/>
      <c r="J30" s="11">
        <f t="shared" si="8"/>
        <v>2362.52</v>
      </c>
      <c r="K30" s="5">
        <v>19.32</v>
      </c>
      <c r="L30" s="5">
        <v>200.89</v>
      </c>
      <c r="M30" s="3">
        <f t="shared" si="7"/>
        <v>185.36999999999989</v>
      </c>
      <c r="N30" s="3">
        <f t="shared" si="2"/>
        <v>405.57999999999987</v>
      </c>
      <c r="O30" s="22">
        <f t="shared" si="3"/>
        <v>1956.94</v>
      </c>
      <c r="P30" s="29"/>
      <c r="Q30" s="30">
        <v>1956.94</v>
      </c>
    </row>
    <row r="31" spans="1:17" x14ac:dyDescent="0.25">
      <c r="A31" s="19" t="s">
        <v>17</v>
      </c>
      <c r="B31" s="14">
        <f>2290.45+593</f>
        <v>2883.45</v>
      </c>
      <c r="C31" s="39">
        <v>533.34</v>
      </c>
      <c r="D31" s="45"/>
      <c r="E31" s="45">
        <f>466.66+2004.14+518.87+996.56</f>
        <v>3986.23</v>
      </c>
      <c r="F31" s="45"/>
      <c r="G31" s="45">
        <f>2147.3+555.93+500</f>
        <v>3203.23</v>
      </c>
      <c r="H31" s="46"/>
      <c r="I31" s="46"/>
      <c r="J31" s="11">
        <f t="shared" si="8"/>
        <v>10606.25</v>
      </c>
      <c r="K31" s="5">
        <f>59.32+124.86</f>
        <v>184.18</v>
      </c>
      <c r="L31" s="5">
        <f>342.62+409.35</f>
        <v>751.97</v>
      </c>
      <c r="M31" s="3">
        <f t="shared" si="7"/>
        <v>7323.1500000000005</v>
      </c>
      <c r="N31" s="3">
        <f t="shared" si="2"/>
        <v>8259.3000000000011</v>
      </c>
      <c r="O31" s="22">
        <f t="shared" si="3"/>
        <v>2346.9499999999989</v>
      </c>
      <c r="P31" s="29"/>
      <c r="Q31" s="30">
        <v>2346.9499999999998</v>
      </c>
    </row>
    <row r="32" spans="1:17" x14ac:dyDescent="0.25">
      <c r="A32" s="19" t="s">
        <v>18</v>
      </c>
      <c r="B32" s="14">
        <v>6219.96</v>
      </c>
      <c r="C32" s="39"/>
      <c r="D32" s="45"/>
      <c r="E32" s="45"/>
      <c r="F32" s="45"/>
      <c r="G32" s="45"/>
      <c r="H32" s="46"/>
      <c r="I32" s="46"/>
      <c r="J32" s="11">
        <f t="shared" si="8"/>
        <v>6219.96</v>
      </c>
      <c r="K32" s="5">
        <v>642.55999999999995</v>
      </c>
      <c r="L32" s="5">
        <v>722.07</v>
      </c>
      <c r="M32" s="3">
        <f t="shared" si="7"/>
        <v>237.02999999999975</v>
      </c>
      <c r="N32" s="3">
        <f t="shared" si="2"/>
        <v>1601.6599999999999</v>
      </c>
      <c r="O32" s="22">
        <f t="shared" si="3"/>
        <v>4618.3</v>
      </c>
      <c r="P32" s="29"/>
      <c r="Q32" s="30">
        <v>4618.3</v>
      </c>
    </row>
    <row r="33" spans="1:17" x14ac:dyDescent="0.25">
      <c r="A33" s="19" t="s">
        <v>86</v>
      </c>
      <c r="B33" s="14">
        <v>243.6</v>
      </c>
      <c r="C33" s="39"/>
      <c r="D33" s="45"/>
      <c r="E33" s="45">
        <v>8120.25</v>
      </c>
      <c r="F33" s="45"/>
      <c r="G33" s="45">
        <v>1218.04</v>
      </c>
      <c r="H33" s="46"/>
      <c r="I33" s="46">
        <v>196226.24</v>
      </c>
      <c r="J33" s="11">
        <f>SUM(B33:I33)</f>
        <v>205808.13</v>
      </c>
      <c r="K33" s="5"/>
      <c r="L33" s="5">
        <v>111.39</v>
      </c>
      <c r="M33" s="3">
        <f t="shared" si="7"/>
        <v>145.91000000000349</v>
      </c>
      <c r="N33" s="3">
        <f t="shared" si="2"/>
        <v>257.30000000000348</v>
      </c>
      <c r="O33" s="22">
        <f t="shared" si="3"/>
        <v>205550.83</v>
      </c>
      <c r="P33" s="29"/>
      <c r="Q33" s="30">
        <v>205550.83</v>
      </c>
    </row>
    <row r="34" spans="1:17" x14ac:dyDescent="0.25">
      <c r="A34" s="19" t="s">
        <v>60</v>
      </c>
      <c r="B34" s="14">
        <v>4530.08</v>
      </c>
      <c r="C34" s="39"/>
      <c r="D34" s="45"/>
      <c r="E34" s="45"/>
      <c r="F34" s="45"/>
      <c r="G34" s="45"/>
      <c r="H34" s="46"/>
      <c r="I34" s="46"/>
      <c r="J34" s="11">
        <f>SUM(B34:H34)</f>
        <v>4530.08</v>
      </c>
      <c r="K34" s="5">
        <v>273.89999999999998</v>
      </c>
      <c r="L34" s="5">
        <v>485.49</v>
      </c>
      <c r="M34" s="3">
        <f t="shared" ref="M34" si="12">J34-K34-L34-Q34</f>
        <v>41.0600000000004</v>
      </c>
      <c r="N34" s="3">
        <f t="shared" ref="N34" si="13">SUM(K34:M34)</f>
        <v>800.45000000000039</v>
      </c>
      <c r="O34" s="22">
        <f>SUM(J34-N34)+G34</f>
        <v>3729.6299999999997</v>
      </c>
      <c r="P34" s="29"/>
      <c r="Q34" s="30">
        <v>3729.63</v>
      </c>
    </row>
    <row r="35" spans="1:17" x14ac:dyDescent="0.25">
      <c r="A35" s="19" t="s">
        <v>19</v>
      </c>
      <c r="B35" s="14">
        <v>2080.27</v>
      </c>
      <c r="C35" s="39"/>
      <c r="D35" s="45"/>
      <c r="E35" s="45"/>
      <c r="F35" s="45"/>
      <c r="G35" s="45"/>
      <c r="H35" s="46"/>
      <c r="I35" s="46"/>
      <c r="J35" s="11">
        <f>SUM(B35:H35)</f>
        <v>2080.27</v>
      </c>
      <c r="K35" s="5"/>
      <c r="L35" s="5">
        <v>170.72</v>
      </c>
      <c r="M35" s="3">
        <f t="shared" si="7"/>
        <v>109.26999999999998</v>
      </c>
      <c r="N35" s="3">
        <f t="shared" si="2"/>
        <v>279.99</v>
      </c>
      <c r="O35" s="22">
        <f>SUM(J35-N35)+G35</f>
        <v>1800.28</v>
      </c>
      <c r="P35" s="29"/>
      <c r="Q35" s="30">
        <v>1800.28</v>
      </c>
    </row>
    <row r="36" spans="1:17" x14ac:dyDescent="0.25">
      <c r="A36" s="19" t="s">
        <v>20</v>
      </c>
      <c r="B36" s="14">
        <f>2677.91+385.62</f>
        <v>3063.5299999999997</v>
      </c>
      <c r="C36" s="39">
        <v>535.58000000000004</v>
      </c>
      <c r="D36" s="45"/>
      <c r="E36" s="45">
        <f>468.64+2343.18+337.42+1049.75</f>
        <v>4198.99</v>
      </c>
      <c r="F36" s="45"/>
      <c r="G36" s="45">
        <f>2510.55+361.52+502.11</f>
        <v>3374.1800000000003</v>
      </c>
      <c r="H36" s="46"/>
      <c r="I36" s="46"/>
      <c r="J36" s="11">
        <f>SUM(B36:H36)</f>
        <v>11172.279999999999</v>
      </c>
      <c r="K36" s="5">
        <f>138.14+209.84</f>
        <v>347.98</v>
      </c>
      <c r="L36" s="5">
        <f>312.84+439.13</f>
        <v>751.97</v>
      </c>
      <c r="M36" s="3">
        <f t="shared" si="7"/>
        <v>6990.26</v>
      </c>
      <c r="N36" s="3">
        <f t="shared" si="2"/>
        <v>8090.21</v>
      </c>
      <c r="O36" s="22">
        <f t="shared" si="3"/>
        <v>3082.0699999999988</v>
      </c>
      <c r="P36" s="29"/>
      <c r="Q36" s="30">
        <v>3082.07</v>
      </c>
    </row>
    <row r="37" spans="1:17" x14ac:dyDescent="0.25">
      <c r="A37" s="19" t="s">
        <v>87</v>
      </c>
      <c r="B37" s="14">
        <v>523.95000000000005</v>
      </c>
      <c r="C37" s="39">
        <v>79.87</v>
      </c>
      <c r="D37" s="45"/>
      <c r="E37" s="45">
        <v>20127.310000000001</v>
      </c>
      <c r="F37" s="45"/>
      <c r="G37" s="45">
        <v>3019.1</v>
      </c>
      <c r="H37" s="46"/>
      <c r="I37" s="46">
        <v>437467.35</v>
      </c>
      <c r="J37" s="11">
        <f>SUM(B37:I37)</f>
        <v>461217.57999999996</v>
      </c>
      <c r="K37" s="5">
        <v>48.44</v>
      </c>
      <c r="L37" s="5">
        <v>324.95999999999998</v>
      </c>
      <c r="M37" s="3">
        <f t="shared" si="7"/>
        <v>461.15999999991618</v>
      </c>
      <c r="N37" s="3">
        <f t="shared" si="2"/>
        <v>834.55999999991616</v>
      </c>
      <c r="O37" s="22">
        <f>SUM(J37-N37)+G37</f>
        <v>463402.12</v>
      </c>
      <c r="P37" s="29"/>
      <c r="Q37" s="30">
        <v>460383.02</v>
      </c>
    </row>
    <row r="38" spans="1:17" x14ac:dyDescent="0.25">
      <c r="A38" s="19" t="s">
        <v>21</v>
      </c>
      <c r="B38" s="14">
        <f>11980.55+3450.4</f>
        <v>15430.949999999999</v>
      </c>
      <c r="C38" s="39">
        <v>2396.11</v>
      </c>
      <c r="D38" s="45"/>
      <c r="E38" s="45"/>
      <c r="F38" s="45"/>
      <c r="G38" s="45"/>
      <c r="H38" s="46"/>
      <c r="I38" s="46"/>
      <c r="J38" s="11">
        <f t="shared" ref="J38:J43" si="14">SUM(B38:H38)</f>
        <v>17827.059999999998</v>
      </c>
      <c r="K38" s="5">
        <v>3774.15</v>
      </c>
      <c r="L38" s="5">
        <v>751.97</v>
      </c>
      <c r="M38" s="3">
        <f t="shared" si="7"/>
        <v>6.1199999999989814</v>
      </c>
      <c r="N38" s="3">
        <f t="shared" si="2"/>
        <v>4532.2399999999989</v>
      </c>
      <c r="O38" s="22">
        <f t="shared" si="3"/>
        <v>13294.82</v>
      </c>
      <c r="P38" s="29"/>
      <c r="Q38" s="30">
        <v>13294.82</v>
      </c>
    </row>
    <row r="39" spans="1:17" x14ac:dyDescent="0.25">
      <c r="A39" s="19" t="s">
        <v>61</v>
      </c>
      <c r="B39" s="14">
        <f>4927.52+650.43</f>
        <v>5577.9500000000007</v>
      </c>
      <c r="C39" s="39">
        <v>985.5</v>
      </c>
      <c r="D39" s="45"/>
      <c r="E39" s="45"/>
      <c r="F39" s="45"/>
      <c r="G39" s="45"/>
      <c r="H39" s="46"/>
      <c r="I39" s="46"/>
      <c r="J39" s="11">
        <f t="shared" si="14"/>
        <v>6563.4500000000007</v>
      </c>
      <c r="K39" s="5">
        <v>728.8</v>
      </c>
      <c r="L39" s="5">
        <f>584.7+167.27</f>
        <v>751.97</v>
      </c>
      <c r="M39" s="3">
        <f t="shared" si="7"/>
        <v>197.51000000000022</v>
      </c>
      <c r="N39" s="3">
        <f t="shared" si="2"/>
        <v>1678.2800000000002</v>
      </c>
      <c r="O39" s="22">
        <f t="shared" si="3"/>
        <v>4885.17</v>
      </c>
      <c r="P39" s="29"/>
      <c r="Q39" s="30">
        <v>4885.17</v>
      </c>
    </row>
    <row r="40" spans="1:17" x14ac:dyDescent="0.25">
      <c r="A40" s="19" t="s">
        <v>22</v>
      </c>
      <c r="B40" s="14">
        <f>4657.65+391.24</f>
        <v>5048.8899999999994</v>
      </c>
      <c r="C40" s="39">
        <v>931.53</v>
      </c>
      <c r="D40" s="45"/>
      <c r="E40" s="45"/>
      <c r="F40" s="45"/>
      <c r="G40" s="45"/>
      <c r="H40" s="46"/>
      <c r="I40" s="46"/>
      <c r="J40" s="11">
        <f t="shared" si="14"/>
        <v>5980.4199999999992</v>
      </c>
      <c r="K40" s="5">
        <v>481.64</v>
      </c>
      <c r="L40" s="5">
        <v>688.53</v>
      </c>
      <c r="M40" s="3">
        <f t="shared" si="7"/>
        <v>1510.7299999999991</v>
      </c>
      <c r="N40" s="3">
        <f t="shared" si="2"/>
        <v>2680.8999999999992</v>
      </c>
      <c r="O40" s="22">
        <f>SUM(J40-N40)+G40</f>
        <v>3299.52</v>
      </c>
      <c r="P40" s="29"/>
      <c r="Q40" s="30">
        <v>3299.52</v>
      </c>
    </row>
    <row r="41" spans="1:17" x14ac:dyDescent="0.25">
      <c r="A41" s="19" t="s">
        <v>58</v>
      </c>
      <c r="B41" s="14">
        <v>1881.14</v>
      </c>
      <c r="C41" s="39"/>
      <c r="D41" s="45"/>
      <c r="E41" s="45"/>
      <c r="F41" s="45"/>
      <c r="G41" s="45"/>
      <c r="H41" s="46"/>
      <c r="I41" s="46"/>
      <c r="J41" s="11">
        <f t="shared" si="14"/>
        <v>1881.14</v>
      </c>
      <c r="K41" s="5"/>
      <c r="L41" s="5">
        <v>152.80000000000001</v>
      </c>
      <c r="M41" s="3">
        <f t="shared" ref="M41" si="15">J41-K41-L41-Q41</f>
        <v>15.250000000000227</v>
      </c>
      <c r="N41" s="3">
        <f t="shared" ref="N41" si="16">SUM(K41:M41)</f>
        <v>168.05000000000024</v>
      </c>
      <c r="O41" s="22">
        <f t="shared" ref="O41" si="17">SUM(J41-N41)</f>
        <v>1713.09</v>
      </c>
      <c r="P41" s="29"/>
      <c r="Q41" s="30">
        <v>1713.09</v>
      </c>
    </row>
    <row r="42" spans="1:17" x14ac:dyDescent="0.25">
      <c r="A42" s="19" t="s">
        <v>23</v>
      </c>
      <c r="B42" s="14">
        <v>3015.51</v>
      </c>
      <c r="C42" s="39"/>
      <c r="D42" s="45"/>
      <c r="E42" s="45"/>
      <c r="F42" s="45"/>
      <c r="G42" s="45"/>
      <c r="H42" s="46"/>
      <c r="I42" s="46"/>
      <c r="J42" s="11">
        <f t="shared" si="14"/>
        <v>3015.51</v>
      </c>
      <c r="K42" s="5">
        <v>62.42</v>
      </c>
      <c r="L42" s="5">
        <v>279.25</v>
      </c>
      <c r="M42" s="3">
        <f t="shared" si="7"/>
        <v>841.95</v>
      </c>
      <c r="N42" s="3">
        <f t="shared" si="2"/>
        <v>1183.6200000000001</v>
      </c>
      <c r="O42" s="22">
        <f t="shared" si="3"/>
        <v>1831.89</v>
      </c>
      <c r="P42" s="29"/>
      <c r="Q42" s="30">
        <v>1831.89</v>
      </c>
    </row>
    <row r="43" spans="1:17" ht="15.75" thickBot="1" x14ac:dyDescent="0.3">
      <c r="A43" s="19" t="s">
        <v>24</v>
      </c>
      <c r="B43" s="15">
        <f>11980.55+3594.17</f>
        <v>15574.72</v>
      </c>
      <c r="C43" s="40">
        <v>2396.11</v>
      </c>
      <c r="D43" s="45"/>
      <c r="E43" s="45"/>
      <c r="F43" s="45"/>
      <c r="G43" s="45"/>
      <c r="H43" s="46"/>
      <c r="I43" s="51"/>
      <c r="J43" s="12">
        <f t="shared" si="14"/>
        <v>17970.829999999998</v>
      </c>
      <c r="K43" s="5">
        <v>3761.55</v>
      </c>
      <c r="L43" s="5">
        <v>751.97</v>
      </c>
      <c r="M43" s="3">
        <f t="shared" si="7"/>
        <v>79.119999999998981</v>
      </c>
      <c r="N43" s="3">
        <f t="shared" si="2"/>
        <v>4592.6399999999994</v>
      </c>
      <c r="O43" s="23">
        <f t="shared" si="3"/>
        <v>13378.189999999999</v>
      </c>
      <c r="P43" s="29"/>
      <c r="Q43" s="30">
        <v>13378.19</v>
      </c>
    </row>
    <row r="44" spans="1:17" x14ac:dyDescent="0.25">
      <c r="A44" s="56" t="s">
        <v>50</v>
      </c>
      <c r="B44" s="58" t="s">
        <v>40</v>
      </c>
      <c r="C44" s="62" t="s">
        <v>66</v>
      </c>
      <c r="D44" s="60" t="s">
        <v>41</v>
      </c>
      <c r="E44" s="60" t="s">
        <v>67</v>
      </c>
      <c r="F44" s="34" t="s">
        <v>68</v>
      </c>
      <c r="G44" s="36" t="s">
        <v>70</v>
      </c>
      <c r="H44" s="7" t="s">
        <v>53</v>
      </c>
      <c r="I44" s="7"/>
      <c r="J44" s="25" t="s">
        <v>42</v>
      </c>
      <c r="K44" s="79" t="s">
        <v>44</v>
      </c>
      <c r="L44" s="79" t="s">
        <v>45</v>
      </c>
      <c r="M44" s="7" t="s">
        <v>46</v>
      </c>
      <c r="N44" s="7" t="s">
        <v>48</v>
      </c>
      <c r="O44" s="27" t="s">
        <v>42</v>
      </c>
      <c r="P44" s="32"/>
      <c r="Q44" s="32"/>
    </row>
    <row r="45" spans="1:17" ht="15.75" thickBot="1" x14ac:dyDescent="0.3">
      <c r="A45" s="57"/>
      <c r="B45" s="59"/>
      <c r="C45" s="63"/>
      <c r="D45" s="61"/>
      <c r="E45" s="61"/>
      <c r="F45" s="35" t="s">
        <v>69</v>
      </c>
      <c r="G45" s="37" t="s">
        <v>55</v>
      </c>
      <c r="H45" s="8" t="s">
        <v>54</v>
      </c>
      <c r="I45" s="8"/>
      <c r="J45" s="26" t="s">
        <v>43</v>
      </c>
      <c r="K45" s="80"/>
      <c r="L45" s="80"/>
      <c r="M45" s="8" t="s">
        <v>47</v>
      </c>
      <c r="N45" s="8" t="s">
        <v>47</v>
      </c>
      <c r="O45" s="28" t="s">
        <v>49</v>
      </c>
      <c r="P45" s="32"/>
      <c r="Q45" s="32"/>
    </row>
    <row r="46" spans="1:17" x14ac:dyDescent="0.25">
      <c r="A46" s="19" t="s">
        <v>25</v>
      </c>
      <c r="B46" s="17">
        <v>2069.3000000000002</v>
      </c>
      <c r="C46" s="41"/>
      <c r="D46" s="45"/>
      <c r="E46" s="45"/>
      <c r="F46" s="45"/>
      <c r="G46" s="45"/>
      <c r="H46" s="46"/>
      <c r="I46" s="52"/>
      <c r="J46" s="16">
        <f t="shared" ref="J46:J54" si="18">SUM(B46:H46)</f>
        <v>2069.3000000000002</v>
      </c>
      <c r="K46" s="5"/>
      <c r="L46" s="5">
        <v>169.73</v>
      </c>
      <c r="M46" s="3">
        <f t="shared" ref="M46:M66" si="19">J46-K46-L46-Q46</f>
        <v>854.23000000000025</v>
      </c>
      <c r="N46" s="3">
        <f t="shared" si="2"/>
        <v>1023.9600000000003</v>
      </c>
      <c r="O46" s="24">
        <f t="shared" si="3"/>
        <v>1045.3399999999999</v>
      </c>
      <c r="P46" s="29"/>
      <c r="Q46" s="30">
        <v>1045.3399999999999</v>
      </c>
    </row>
    <row r="47" spans="1:17" x14ac:dyDescent="0.25">
      <c r="A47" s="19" t="s">
        <v>26</v>
      </c>
      <c r="B47" s="14">
        <f>2909.93+611.09</f>
        <v>3521.02</v>
      </c>
      <c r="C47" s="39"/>
      <c r="D47" s="45"/>
      <c r="E47" s="45">
        <f>581.99+122.22+234.74</f>
        <v>938.95</v>
      </c>
      <c r="F47" s="45"/>
      <c r="G47" s="45"/>
      <c r="H47" s="47"/>
      <c r="I47" s="47"/>
      <c r="J47" s="11">
        <f t="shared" si="18"/>
        <v>4459.97</v>
      </c>
      <c r="K47" s="5">
        <v>115.26</v>
      </c>
      <c r="L47" s="5">
        <f>387.3+88.37</f>
        <v>475.67</v>
      </c>
      <c r="M47" s="3">
        <f t="shared" si="19"/>
        <v>1300.77</v>
      </c>
      <c r="N47" s="3">
        <f t="shared" si="2"/>
        <v>1891.7</v>
      </c>
      <c r="O47" s="22">
        <f t="shared" si="3"/>
        <v>2568.2700000000004</v>
      </c>
      <c r="P47" s="29"/>
      <c r="Q47" s="30">
        <v>2568.27</v>
      </c>
    </row>
    <row r="48" spans="1:17" x14ac:dyDescent="0.25">
      <c r="A48" s="19" t="s">
        <v>27</v>
      </c>
      <c r="B48" s="14">
        <f>7858.53+1100.19</f>
        <v>8958.7199999999993</v>
      </c>
      <c r="C48" s="39"/>
      <c r="D48" s="45"/>
      <c r="E48" s="45"/>
      <c r="F48" s="45"/>
      <c r="G48" s="45"/>
      <c r="H48" s="47">
        <v>4781.33</v>
      </c>
      <c r="I48" s="47"/>
      <c r="J48" s="11">
        <f t="shared" si="18"/>
        <v>13740.05</v>
      </c>
      <c r="K48" s="5">
        <v>2650.22</v>
      </c>
      <c r="L48" s="5">
        <f>38.89+713.08</f>
        <v>751.97</v>
      </c>
      <c r="M48" s="3">
        <f t="shared" si="19"/>
        <v>675.94000000000051</v>
      </c>
      <c r="N48" s="3">
        <f t="shared" si="2"/>
        <v>4078.13</v>
      </c>
      <c r="O48" s="22">
        <f t="shared" si="3"/>
        <v>9661.9199999999983</v>
      </c>
      <c r="P48" s="29"/>
      <c r="Q48" s="30">
        <v>9661.92</v>
      </c>
    </row>
    <row r="49" spans="1:17" x14ac:dyDescent="0.25">
      <c r="A49" s="19" t="s">
        <v>28</v>
      </c>
      <c r="B49" s="14">
        <f>5288.3+2709.19</f>
        <v>7997.49</v>
      </c>
      <c r="C49" s="39">
        <v>6000</v>
      </c>
      <c r="D49" s="45"/>
      <c r="E49" s="45"/>
      <c r="F49" s="45"/>
      <c r="G49" s="45"/>
      <c r="H49" s="47"/>
      <c r="I49" s="47"/>
      <c r="J49" s="11">
        <f t="shared" si="18"/>
        <v>13997.49</v>
      </c>
      <c r="K49" s="5">
        <v>2668.88</v>
      </c>
      <c r="L49" s="5">
        <f>38.89+713.08</f>
        <v>751.97</v>
      </c>
      <c r="M49" s="3">
        <f>J49-K49-L49-Q49</f>
        <v>879.56000000000131</v>
      </c>
      <c r="N49" s="3">
        <f>SUM(K49:M49)</f>
        <v>4300.4100000000017</v>
      </c>
      <c r="O49" s="22">
        <f t="shared" si="3"/>
        <v>9697.0799999999981</v>
      </c>
      <c r="P49" s="29"/>
      <c r="Q49" s="30">
        <v>9697.08</v>
      </c>
    </row>
    <row r="50" spans="1:17" x14ac:dyDescent="0.25">
      <c r="A50" s="19" t="s">
        <v>29</v>
      </c>
      <c r="B50" s="14">
        <f>4927.52+827.82</f>
        <v>5755.34</v>
      </c>
      <c r="C50" s="39">
        <v>985.5</v>
      </c>
      <c r="D50" s="45"/>
      <c r="E50" s="45"/>
      <c r="F50" s="45"/>
      <c r="G50" s="45"/>
      <c r="H50" s="47"/>
      <c r="I50" s="47"/>
      <c r="J50" s="11">
        <f t="shared" si="18"/>
        <v>6740.84</v>
      </c>
      <c r="K50" s="5">
        <v>673.3</v>
      </c>
      <c r="L50" s="5">
        <f>221.95+530.02</f>
        <v>751.97</v>
      </c>
      <c r="M50" s="3">
        <f t="shared" si="19"/>
        <v>435.88000000000011</v>
      </c>
      <c r="N50" s="3">
        <f t="shared" si="2"/>
        <v>1861.15</v>
      </c>
      <c r="O50" s="22">
        <f t="shared" si="3"/>
        <v>4879.6900000000005</v>
      </c>
      <c r="P50" s="29"/>
      <c r="Q50" s="30">
        <v>4879.6899999999996</v>
      </c>
    </row>
    <row r="51" spans="1:17" x14ac:dyDescent="0.25">
      <c r="A51" s="19" t="s">
        <v>30</v>
      </c>
      <c r="B51" s="14">
        <v>6931.01</v>
      </c>
      <c r="C51" s="39"/>
      <c r="D51" s="45"/>
      <c r="E51" s="39"/>
      <c r="F51" s="45"/>
      <c r="G51" s="45"/>
      <c r="H51" s="47"/>
      <c r="I51" s="47"/>
      <c r="J51" s="11">
        <f t="shared" si="18"/>
        <v>6931.01</v>
      </c>
      <c r="K51" s="5">
        <v>777.74</v>
      </c>
      <c r="L51" s="5">
        <v>751.97</v>
      </c>
      <c r="M51" s="3">
        <f t="shared" si="19"/>
        <v>895.07000000000062</v>
      </c>
      <c r="N51" s="3">
        <f t="shared" si="2"/>
        <v>2424.7800000000007</v>
      </c>
      <c r="O51" s="22">
        <f>SUM(J51-N51)+G51</f>
        <v>4506.2299999999996</v>
      </c>
      <c r="P51" s="29"/>
      <c r="Q51" s="30">
        <v>4506.2299999999996</v>
      </c>
    </row>
    <row r="52" spans="1:17" x14ac:dyDescent="0.25">
      <c r="A52" s="19" t="s">
        <v>31</v>
      </c>
      <c r="B52" s="14">
        <f>4927.52+650.43</f>
        <v>5577.9500000000007</v>
      </c>
      <c r="C52" s="39">
        <v>985.5</v>
      </c>
      <c r="D52" s="45"/>
      <c r="E52" s="45"/>
      <c r="F52" s="45"/>
      <c r="G52" s="45"/>
      <c r="H52" s="47"/>
      <c r="I52" s="47"/>
      <c r="J52" s="11">
        <f t="shared" si="18"/>
        <v>6563.4500000000007</v>
      </c>
      <c r="K52" s="5">
        <v>676.66</v>
      </c>
      <c r="L52" s="5">
        <v>751.97</v>
      </c>
      <c r="M52" s="3">
        <f t="shared" si="19"/>
        <v>1500.7800000000007</v>
      </c>
      <c r="N52" s="3">
        <f t="shared" si="2"/>
        <v>2929.4100000000008</v>
      </c>
      <c r="O52" s="22">
        <f>SUM(J52-N52)+G52</f>
        <v>3634.04</v>
      </c>
      <c r="P52" s="29"/>
      <c r="Q52" s="30">
        <v>3634.04</v>
      </c>
    </row>
    <row r="53" spans="1:17" x14ac:dyDescent="0.25">
      <c r="A53" s="19" t="s">
        <v>32</v>
      </c>
      <c r="B53" s="14">
        <f>3391.95+373.11</f>
        <v>3765.06</v>
      </c>
      <c r="C53" s="39"/>
      <c r="D53" s="45"/>
      <c r="E53" s="45">
        <f>376.88+41.46+139.45</f>
        <v>557.79</v>
      </c>
      <c r="F53" s="45"/>
      <c r="G53" s="45"/>
      <c r="H53" s="47"/>
      <c r="I53" s="47"/>
      <c r="J53" s="11">
        <f t="shared" si="18"/>
        <v>4322.8500000000004</v>
      </c>
      <c r="K53" s="5">
        <v>91.4</v>
      </c>
      <c r="L53" s="5">
        <f>411.22+45.25</f>
        <v>456.47</v>
      </c>
      <c r="M53" s="3">
        <f t="shared" si="19"/>
        <v>1182.5200000000004</v>
      </c>
      <c r="N53" s="3">
        <f t="shared" si="2"/>
        <v>1730.3900000000003</v>
      </c>
      <c r="O53" s="22">
        <f t="shared" si="3"/>
        <v>2592.46</v>
      </c>
      <c r="P53" s="29"/>
      <c r="Q53" s="30">
        <v>2592.46</v>
      </c>
    </row>
    <row r="54" spans="1:17" x14ac:dyDescent="0.25">
      <c r="A54" s="19" t="s">
        <v>64</v>
      </c>
      <c r="B54" s="14">
        <v>2433.34</v>
      </c>
      <c r="C54" s="39"/>
      <c r="D54" s="45"/>
      <c r="E54" s="45"/>
      <c r="F54" s="45"/>
      <c r="G54" s="45"/>
      <c r="H54" s="47"/>
      <c r="I54" s="47"/>
      <c r="J54" s="11">
        <f t="shared" si="18"/>
        <v>2433.34</v>
      </c>
      <c r="K54" s="5">
        <v>24</v>
      </c>
      <c r="L54" s="5">
        <v>209.39</v>
      </c>
      <c r="M54" s="3">
        <f t="shared" si="19"/>
        <v>6.1200000000003456</v>
      </c>
      <c r="N54" s="3">
        <f t="shared" si="2"/>
        <v>239.51000000000033</v>
      </c>
      <c r="O54" s="22">
        <f t="shared" si="3"/>
        <v>2193.83</v>
      </c>
      <c r="P54" s="29"/>
      <c r="Q54" s="30">
        <v>2193.83</v>
      </c>
    </row>
    <row r="55" spans="1:17" x14ac:dyDescent="0.25">
      <c r="A55" s="19" t="s">
        <v>88</v>
      </c>
      <c r="B55" s="14">
        <v>730.66</v>
      </c>
      <c r="C55" s="39">
        <v>415.15</v>
      </c>
      <c r="D55" s="45"/>
      <c r="E55" s="45">
        <v>38193.83</v>
      </c>
      <c r="F55" s="45"/>
      <c r="G55" s="45">
        <v>5729.07</v>
      </c>
      <c r="H55" s="47"/>
      <c r="I55" s="47">
        <v>1387008.65</v>
      </c>
      <c r="J55" s="11">
        <f>SUM(B55:I55)</f>
        <v>1432077.3599999999</v>
      </c>
      <c r="K55" s="5">
        <v>526.47</v>
      </c>
      <c r="L55" s="5">
        <v>739.96</v>
      </c>
      <c r="M55" s="3">
        <f t="shared" si="19"/>
        <v>298.10999999986961</v>
      </c>
      <c r="N55" s="3">
        <f t="shared" si="2"/>
        <v>1564.5399999998697</v>
      </c>
      <c r="O55" s="22">
        <f t="shared" si="3"/>
        <v>1430512.82</v>
      </c>
      <c r="P55" s="29"/>
      <c r="Q55" s="30">
        <v>1430512.82</v>
      </c>
    </row>
    <row r="56" spans="1:17" x14ac:dyDescent="0.25">
      <c r="A56" s="19" t="s">
        <v>33</v>
      </c>
      <c r="B56" s="14">
        <f>4106.27+591.3</f>
        <v>4697.5700000000006</v>
      </c>
      <c r="C56" s="39">
        <v>821.25</v>
      </c>
      <c r="D56" s="45"/>
      <c r="E56" s="45">
        <f>164.25+821.25+118.26+367.92</f>
        <v>1471.68</v>
      </c>
      <c r="F56" s="45"/>
      <c r="G56" s="45">
        <f>2463.76+354.78+492.75</f>
        <v>3311.29</v>
      </c>
      <c r="H56" s="47"/>
      <c r="I56" s="47"/>
      <c r="J56" s="11">
        <f t="shared" ref="J56:J62" si="20">SUM(B56:H56)</f>
        <v>10301.790000000001</v>
      </c>
      <c r="K56" s="5">
        <v>421.27</v>
      </c>
      <c r="L56" s="5">
        <f>636.02+115.95</f>
        <v>751.97</v>
      </c>
      <c r="M56" s="3">
        <f t="shared" si="19"/>
        <v>4887.8900000000012</v>
      </c>
      <c r="N56" s="3">
        <f t="shared" si="2"/>
        <v>6061.130000000001</v>
      </c>
      <c r="O56" s="22">
        <f t="shared" si="3"/>
        <v>4240.66</v>
      </c>
      <c r="P56" s="29"/>
      <c r="Q56" s="30">
        <v>4240.66</v>
      </c>
    </row>
    <row r="57" spans="1:17" x14ac:dyDescent="0.25">
      <c r="A57" s="19" t="s">
        <v>34</v>
      </c>
      <c r="B57" s="14">
        <v>5515.73</v>
      </c>
      <c r="C57" s="39"/>
      <c r="D57" s="45"/>
      <c r="E57" s="45"/>
      <c r="F57" s="45"/>
      <c r="G57" s="45"/>
      <c r="H57" s="47"/>
      <c r="I57" s="47"/>
      <c r="J57" s="11">
        <f t="shared" si="20"/>
        <v>5515.73</v>
      </c>
      <c r="K57" s="5">
        <v>423.87</v>
      </c>
      <c r="L57" s="5">
        <v>623.48</v>
      </c>
      <c r="M57" s="3">
        <f t="shared" si="19"/>
        <v>775.33999999999924</v>
      </c>
      <c r="N57" s="3">
        <f t="shared" si="2"/>
        <v>1822.6899999999991</v>
      </c>
      <c r="O57" s="22">
        <f t="shared" si="3"/>
        <v>3693.0400000000004</v>
      </c>
      <c r="P57" s="29"/>
      <c r="Q57" s="30">
        <v>3693.04</v>
      </c>
    </row>
    <row r="58" spans="1:17" x14ac:dyDescent="0.25">
      <c r="A58" s="19" t="s">
        <v>57</v>
      </c>
      <c r="B58" s="14">
        <v>1881.14</v>
      </c>
      <c r="C58" s="39"/>
      <c r="D58" s="45"/>
      <c r="E58" s="45"/>
      <c r="F58" s="45"/>
      <c r="G58" s="45"/>
      <c r="H58" s="47"/>
      <c r="I58" s="47"/>
      <c r="J58" s="11">
        <f t="shared" si="20"/>
        <v>1881.14</v>
      </c>
      <c r="K58" s="5"/>
      <c r="L58" s="5">
        <v>152.80000000000001</v>
      </c>
      <c r="M58" s="3">
        <f t="shared" ref="M58" si="21">J58-K58-L58-Q58</f>
        <v>6.1200000000001182</v>
      </c>
      <c r="N58" s="3">
        <f t="shared" ref="N58" si="22">SUM(K58:M58)</f>
        <v>158.92000000000013</v>
      </c>
      <c r="O58" s="22">
        <f t="shared" ref="O58" si="23">SUM(J58-N58)</f>
        <v>1722.22</v>
      </c>
      <c r="P58" s="29"/>
      <c r="Q58" s="30">
        <v>1722.22</v>
      </c>
    </row>
    <row r="59" spans="1:17" x14ac:dyDescent="0.25">
      <c r="A59" s="19" t="s">
        <v>35</v>
      </c>
      <c r="B59" s="14">
        <f>11980.55+4025.46</f>
        <v>16006.009999999998</v>
      </c>
      <c r="C59" s="39">
        <v>2396.11</v>
      </c>
      <c r="D59" s="45"/>
      <c r="E59" s="45"/>
      <c r="F59" s="45"/>
      <c r="G59" s="45"/>
      <c r="H59" s="47"/>
      <c r="I59" s="47"/>
      <c r="J59" s="11">
        <f t="shared" si="20"/>
        <v>18402.12</v>
      </c>
      <c r="K59" s="5">
        <v>3984.43</v>
      </c>
      <c r="L59" s="5">
        <v>751.97</v>
      </c>
      <c r="M59" s="3">
        <f t="shared" si="19"/>
        <v>6.1199999999989814</v>
      </c>
      <c r="N59" s="3">
        <f t="shared" si="2"/>
        <v>4742.5199999999986</v>
      </c>
      <c r="O59" s="22">
        <f>SUM(J59-N59)+G59</f>
        <v>13659.6</v>
      </c>
      <c r="P59" s="29"/>
      <c r="Q59" s="30">
        <v>13659.6</v>
      </c>
    </row>
    <row r="60" spans="1:17" x14ac:dyDescent="0.25">
      <c r="A60" s="19" t="s">
        <v>36</v>
      </c>
      <c r="B60" s="14">
        <v>2160.0700000000002</v>
      </c>
      <c r="C60" s="39"/>
      <c r="D60" s="45"/>
      <c r="E60" s="45"/>
      <c r="F60" s="45"/>
      <c r="G60" s="45"/>
      <c r="H60" s="47"/>
      <c r="I60" s="47"/>
      <c r="J60" s="11">
        <f t="shared" si="20"/>
        <v>2160.0700000000002</v>
      </c>
      <c r="K60" s="5"/>
      <c r="L60" s="5">
        <v>177.9</v>
      </c>
      <c r="M60" s="3">
        <f t="shared" si="19"/>
        <v>149.24</v>
      </c>
      <c r="N60" s="3">
        <f t="shared" si="2"/>
        <v>327.14</v>
      </c>
      <c r="O60" s="22">
        <f t="shared" si="3"/>
        <v>1832.9300000000003</v>
      </c>
      <c r="P60" s="29"/>
      <c r="Q60" s="30">
        <v>1832.93</v>
      </c>
    </row>
    <row r="61" spans="1:17" x14ac:dyDescent="0.25">
      <c r="A61" s="19" t="s">
        <v>37</v>
      </c>
      <c r="B61" s="14">
        <f>5188.62+1992.43</f>
        <v>7181.05</v>
      </c>
      <c r="C61" s="39">
        <v>1037.72</v>
      </c>
      <c r="D61" s="45"/>
      <c r="E61" s="45">
        <f>1037.72+5188.62+1992.43+2739.59</f>
        <v>10958.36</v>
      </c>
      <c r="F61" s="45">
        <f>691.82+3459.08+1328.29+1826.39</f>
        <v>7305.58</v>
      </c>
      <c r="G61" s="45">
        <f>5188.62+1992.43+1037.72</f>
        <v>8218.77</v>
      </c>
      <c r="H61" s="47"/>
      <c r="I61" s="47"/>
      <c r="J61" s="11">
        <f t="shared" si="20"/>
        <v>34701.479999999996</v>
      </c>
      <c r="K61" s="5">
        <f>1338.66+1885.26</f>
        <v>3223.92</v>
      </c>
      <c r="L61" s="5">
        <v>751.97</v>
      </c>
      <c r="M61" s="3">
        <f t="shared" si="19"/>
        <v>25288.279999999995</v>
      </c>
      <c r="N61" s="3">
        <f t="shared" si="2"/>
        <v>29264.169999999995</v>
      </c>
      <c r="O61" s="22">
        <f>SUM(J61-N61)+G61</f>
        <v>13656.080000000002</v>
      </c>
      <c r="P61" s="29"/>
      <c r="Q61" s="30">
        <v>5437.31</v>
      </c>
    </row>
    <row r="62" spans="1:17" x14ac:dyDescent="0.25">
      <c r="A62" s="19" t="s">
        <v>38</v>
      </c>
      <c r="B62" s="14">
        <v>5032.41</v>
      </c>
      <c r="C62" s="39"/>
      <c r="D62" s="45"/>
      <c r="E62" s="45"/>
      <c r="F62" s="45"/>
      <c r="G62" s="45"/>
      <c r="H62" s="47"/>
      <c r="I62" s="47"/>
      <c r="J62" s="11">
        <f t="shared" si="20"/>
        <v>5032.41</v>
      </c>
      <c r="K62" s="5">
        <v>328.45</v>
      </c>
      <c r="L62" s="5">
        <v>555.80999999999995</v>
      </c>
      <c r="M62" s="3">
        <f t="shared" si="19"/>
        <v>1928.7799999999997</v>
      </c>
      <c r="N62" s="3">
        <f t="shared" si="2"/>
        <v>2813.04</v>
      </c>
      <c r="O62" s="22">
        <f t="shared" si="3"/>
        <v>2219.37</v>
      </c>
      <c r="P62" s="29"/>
      <c r="Q62" s="30">
        <v>2219.37</v>
      </c>
    </row>
    <row r="63" spans="1:17" x14ac:dyDescent="0.25">
      <c r="A63" s="19" t="s">
        <v>89</v>
      </c>
      <c r="B63" s="14">
        <v>67.52</v>
      </c>
      <c r="C63" s="39"/>
      <c r="D63" s="45"/>
      <c r="E63" s="45">
        <v>2701.05</v>
      </c>
      <c r="F63" s="45"/>
      <c r="G63" s="45">
        <v>337.63</v>
      </c>
      <c r="H63" s="47"/>
      <c r="I63" s="47">
        <v>25828.82</v>
      </c>
      <c r="J63" s="11">
        <f>SUM(B63:I63)</f>
        <v>28935.02</v>
      </c>
      <c r="K63" s="5"/>
      <c r="L63" s="5">
        <v>30.38</v>
      </c>
      <c r="M63" s="3">
        <f t="shared" si="19"/>
        <v>13290.18</v>
      </c>
      <c r="N63" s="3">
        <f t="shared" si="2"/>
        <v>13320.56</v>
      </c>
      <c r="O63" s="22">
        <f t="shared" si="3"/>
        <v>15614.460000000001</v>
      </c>
      <c r="P63" s="29"/>
      <c r="Q63" s="30">
        <v>15614.46</v>
      </c>
    </row>
    <row r="64" spans="1:17" x14ac:dyDescent="0.25">
      <c r="A64" s="19" t="s">
        <v>65</v>
      </c>
      <c r="B64" s="14">
        <v>4033.32</v>
      </c>
      <c r="C64" s="39"/>
      <c r="D64" s="45"/>
      <c r="E64" s="45"/>
      <c r="F64" s="45"/>
      <c r="G64" s="45"/>
      <c r="H64" s="47"/>
      <c r="I64" s="47"/>
      <c r="J64" s="11">
        <f>SUM(B64:H64)</f>
        <v>4033.32</v>
      </c>
      <c r="K64" s="5">
        <v>187.81</v>
      </c>
      <c r="L64" s="5">
        <v>415.94</v>
      </c>
      <c r="M64" s="3">
        <f t="shared" ref="M64" si="24">J64-K64-L64-Q64</f>
        <v>1057.5500000000002</v>
      </c>
      <c r="N64" s="3">
        <f t="shared" ref="N64" si="25">SUM(K64:M64)</f>
        <v>1661.3000000000002</v>
      </c>
      <c r="O64" s="22">
        <f t="shared" ref="O64" si="26">SUM(J64-N64)</f>
        <v>2372.02</v>
      </c>
      <c r="P64" s="29"/>
      <c r="Q64" s="30">
        <v>2372.02</v>
      </c>
    </row>
    <row r="65" spans="1:17" x14ac:dyDescent="0.25">
      <c r="A65" s="19" t="s">
        <v>63</v>
      </c>
      <c r="B65" s="14">
        <f>1755.42+17.55</f>
        <v>1772.97</v>
      </c>
      <c r="C65" s="39"/>
      <c r="D65" s="45"/>
      <c r="E65" s="45"/>
      <c r="F65" s="45"/>
      <c r="G65" s="45"/>
      <c r="H65" s="47"/>
      <c r="I65" s="47"/>
      <c r="J65" s="11">
        <f>SUM(B65:H65)</f>
        <v>1772.97</v>
      </c>
      <c r="K65" s="5"/>
      <c r="L65" s="5">
        <v>143.06</v>
      </c>
      <c r="M65" s="3">
        <f t="shared" ref="M65" si="27">J65-K65-L65-Q65</f>
        <v>131.41000000000008</v>
      </c>
      <c r="N65" s="3">
        <f t="shared" ref="N65" si="28">SUM(K65:M65)</f>
        <v>274.47000000000008</v>
      </c>
      <c r="O65" s="22">
        <f t="shared" ref="O65" si="29">SUM(J65-N65)</f>
        <v>1498.5</v>
      </c>
      <c r="P65" s="29"/>
      <c r="Q65" s="30">
        <v>1498.5</v>
      </c>
    </row>
    <row r="66" spans="1:17" ht="15.75" thickBot="1" x14ac:dyDescent="0.3">
      <c r="A66" s="20" t="s">
        <v>39</v>
      </c>
      <c r="B66" s="15">
        <f>8015.71+1154.26</f>
        <v>9169.9699999999993</v>
      </c>
      <c r="C66" s="42">
        <v>1603.14</v>
      </c>
      <c r="D66" s="48"/>
      <c r="E66" s="48"/>
      <c r="F66" s="48"/>
      <c r="G66" s="48"/>
      <c r="H66" s="49">
        <v>4781.32</v>
      </c>
      <c r="I66" s="49"/>
      <c r="J66" s="12">
        <f>SUM(B66:H66)</f>
        <v>15554.429999999998</v>
      </c>
      <c r="K66" s="9">
        <v>3149.18</v>
      </c>
      <c r="L66" s="9">
        <f>96.3+655.67</f>
        <v>751.96999999999991</v>
      </c>
      <c r="M66" s="10">
        <f t="shared" si="19"/>
        <v>68.919999999998254</v>
      </c>
      <c r="N66" s="10">
        <f t="shared" si="2"/>
        <v>3970.0699999999979</v>
      </c>
      <c r="O66" s="23">
        <f t="shared" si="3"/>
        <v>11584.36</v>
      </c>
      <c r="P66" s="29"/>
      <c r="Q66" s="30">
        <v>11584.36</v>
      </c>
    </row>
    <row r="67" spans="1:17" ht="15.75" thickBot="1" x14ac:dyDescent="0.3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</row>
    <row r="68" spans="1:17" x14ac:dyDescent="0.25">
      <c r="A68" s="76" t="s">
        <v>77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8"/>
    </row>
    <row r="69" spans="1:17" x14ac:dyDescent="0.25">
      <c r="A69" s="64" t="s">
        <v>75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6"/>
    </row>
    <row r="70" spans="1:17" ht="5.25" customHeight="1" x14ac:dyDescent="0.25">
      <c r="A70" s="67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9"/>
    </row>
    <row r="71" spans="1:17" x14ac:dyDescent="0.25">
      <c r="A71" s="70" t="s">
        <v>76</v>
      </c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2"/>
    </row>
    <row r="72" spans="1:17" x14ac:dyDescent="0.25">
      <c r="A72" s="73" t="s">
        <v>71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5"/>
    </row>
    <row r="73" spans="1:17" x14ac:dyDescent="0.25">
      <c r="A73" s="73" t="s">
        <v>72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5"/>
    </row>
    <row r="74" spans="1:17" x14ac:dyDescent="0.25">
      <c r="A74" s="73" t="s">
        <v>73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5"/>
    </row>
    <row r="75" spans="1:17" x14ac:dyDescent="0.25">
      <c r="A75" s="73" t="s">
        <v>74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5"/>
    </row>
    <row r="76" spans="1:17" x14ac:dyDescent="0.25">
      <c r="A76" s="73" t="s">
        <v>82</v>
      </c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5"/>
    </row>
    <row r="77" spans="1:17" ht="15.75" thickBot="1" x14ac:dyDescent="0.3">
      <c r="A77" s="82" t="s">
        <v>83</v>
      </c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4"/>
    </row>
    <row r="78" spans="1:17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</row>
  </sheetData>
  <mergeCells count="28">
    <mergeCell ref="A75:O75"/>
    <mergeCell ref="A76:O76"/>
    <mergeCell ref="A77:O77"/>
    <mergeCell ref="A68:O68"/>
    <mergeCell ref="A44:A45"/>
    <mergeCell ref="B44:B45"/>
    <mergeCell ref="K44:K45"/>
    <mergeCell ref="L44:L45"/>
    <mergeCell ref="D44:D45"/>
    <mergeCell ref="A67:O67"/>
    <mergeCell ref="C44:C45"/>
    <mergeCell ref="E44:E45"/>
    <mergeCell ref="A69:O69"/>
    <mergeCell ref="A70:O70"/>
    <mergeCell ref="A71:O71"/>
    <mergeCell ref="A72:O72"/>
    <mergeCell ref="A74:O74"/>
    <mergeCell ref="A73:O73"/>
    <mergeCell ref="A1:O1"/>
    <mergeCell ref="A2:O2"/>
    <mergeCell ref="A3:O3"/>
    <mergeCell ref="A5:A6"/>
    <mergeCell ref="B5:B6"/>
    <mergeCell ref="K5:K6"/>
    <mergeCell ref="L5:L6"/>
    <mergeCell ref="D5:D6"/>
    <mergeCell ref="C5:C6"/>
    <mergeCell ref="E5:E6"/>
  </mergeCells>
  <pageMargins left="0.25" right="0.25" top="0.75" bottom="0.75" header="0.3" footer="0.3"/>
  <pageSetup paperSize="9" scale="56" orientation="landscape" r:id="rId1"/>
  <rowBreaks count="1" manualBreakCount="1">
    <brk id="4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2020-12-22T19:42:59Z</cp:lastPrinted>
  <dcterms:created xsi:type="dcterms:W3CDTF">2016-04-28T12:49:34Z</dcterms:created>
  <dcterms:modified xsi:type="dcterms:W3CDTF">2022-01-27T12:35:37Z</dcterms:modified>
</cp:coreProperties>
</file>