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2 - FEVEREIRO\"/>
    </mc:Choice>
  </mc:AlternateContent>
  <xr:revisionPtr revIDLastSave="0" documentId="13_ncr:1_{B3E97BD2-A7FF-4AE1-8504-B2533DB25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6" l="1"/>
  <c r="J66" i="6"/>
  <c r="E66" i="6"/>
  <c r="B66" i="6"/>
  <c r="K64" i="6"/>
  <c r="E64" i="6"/>
  <c r="B64" i="6"/>
  <c r="B61" i="6"/>
  <c r="J59" i="6"/>
  <c r="E59" i="6"/>
  <c r="G59" i="6"/>
  <c r="B59" i="6"/>
  <c r="B56" i="6"/>
  <c r="K54" i="6"/>
  <c r="E54" i="6"/>
  <c r="B54" i="6"/>
  <c r="K53" i="6"/>
  <c r="E53" i="6"/>
  <c r="B53" i="6"/>
  <c r="J52" i="6"/>
  <c r="E52" i="6"/>
  <c r="G52" i="6"/>
  <c r="B52" i="6"/>
  <c r="F51" i="6"/>
  <c r="E51" i="6"/>
  <c r="G51" i="6"/>
  <c r="B51" i="6"/>
  <c r="B50" i="6"/>
  <c r="C49" i="6"/>
  <c r="B49" i="6"/>
  <c r="B48" i="6"/>
  <c r="I48" i="6"/>
  <c r="K47" i="6"/>
  <c r="J47" i="6"/>
  <c r="E47" i="6"/>
  <c r="B47" i="6"/>
  <c r="J43" i="6"/>
  <c r="E43" i="6"/>
  <c r="G43" i="6"/>
  <c r="B43" i="6"/>
  <c r="B40" i="6"/>
  <c r="K39" i="6"/>
  <c r="E39" i="6"/>
  <c r="G39" i="6"/>
  <c r="B39" i="6"/>
  <c r="K34" i="6"/>
  <c r="E34" i="6"/>
  <c r="B34" i="6"/>
  <c r="B32" i="6"/>
  <c r="K28" i="6"/>
  <c r="J28" i="6"/>
  <c r="E28" i="6"/>
  <c r="G28" i="6"/>
  <c r="B28" i="6"/>
  <c r="E24" i="6"/>
  <c r="G24" i="6"/>
  <c r="B24" i="6"/>
  <c r="B23" i="6"/>
  <c r="K21" i="6"/>
  <c r="E21" i="6"/>
  <c r="G21" i="6"/>
  <c r="B21" i="6"/>
  <c r="B20" i="6"/>
  <c r="J14" i="6"/>
  <c r="E14" i="6"/>
  <c r="F14" i="6"/>
  <c r="C14" i="6"/>
  <c r="G14" i="6"/>
  <c r="B14" i="6"/>
  <c r="B11" i="6"/>
  <c r="K50" i="6"/>
  <c r="K49" i="6"/>
  <c r="K48" i="6"/>
  <c r="B31" i="6"/>
  <c r="K29" i="6"/>
  <c r="K24" i="6"/>
  <c r="K20" i="6"/>
  <c r="K14" i="6"/>
  <c r="I25" i="6" l="1"/>
  <c r="L25" i="6" s="1"/>
  <c r="M25" i="6" s="1"/>
  <c r="N25" i="6" s="1"/>
  <c r="B36" i="6" l="1"/>
  <c r="B27" i="6"/>
  <c r="B38" i="6" l="1"/>
  <c r="B37" i="6"/>
  <c r="B65" i="6" l="1"/>
  <c r="B55" i="6"/>
  <c r="B22" i="6"/>
  <c r="B16" i="6" l="1"/>
  <c r="B7" i="6"/>
  <c r="I63" i="6" l="1"/>
  <c r="I59" i="6"/>
  <c r="I55" i="6"/>
  <c r="I50" i="6"/>
  <c r="I49" i="6"/>
  <c r="I47" i="6"/>
  <c r="I38" i="6"/>
  <c r="I33" i="6"/>
  <c r="I66" i="6"/>
  <c r="I51" i="6"/>
  <c r="I53" i="6"/>
  <c r="I54" i="6"/>
  <c r="I56" i="6"/>
  <c r="I57" i="6"/>
  <c r="I58" i="6"/>
  <c r="I60" i="6"/>
  <c r="I61" i="6"/>
  <c r="I62" i="6"/>
  <c r="I64" i="6"/>
  <c r="I65" i="6"/>
  <c r="I46" i="6"/>
  <c r="I43" i="6"/>
  <c r="I32" i="6"/>
  <c r="I34" i="6"/>
  <c r="I35" i="6"/>
  <c r="I36" i="6"/>
  <c r="I37" i="6"/>
  <c r="I39" i="6"/>
  <c r="I40" i="6"/>
  <c r="I41" i="6"/>
  <c r="I42" i="6"/>
  <c r="I9" i="6"/>
  <c r="I10" i="6"/>
  <c r="I11" i="6"/>
  <c r="I12" i="6"/>
  <c r="I13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8" i="6"/>
  <c r="I7" i="6"/>
  <c r="B15" i="6"/>
  <c r="I15" i="6" s="1"/>
  <c r="I52" i="6" l="1"/>
  <c r="I14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L34" i="6" l="1"/>
  <c r="M34" i="6" s="1"/>
  <c r="N34" i="6" s="1"/>
  <c r="L11" i="6" l="1"/>
  <c r="M11" i="6" s="1"/>
  <c r="N11" i="6" s="1"/>
  <c r="L41" i="6" l="1"/>
  <c r="M41" i="6" s="1"/>
  <c r="N41" i="6" s="1"/>
  <c r="L58" i="6" l="1"/>
  <c r="M58" i="6" s="1"/>
  <c r="N58" i="6" s="1"/>
  <c r="L26" i="6"/>
  <c r="M26" i="6" s="1"/>
  <c r="N26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L57" i="6"/>
  <c r="M57" i="6" s="1"/>
  <c r="N57" i="6" s="1"/>
  <c r="L56" i="6"/>
  <c r="M56" i="6" s="1"/>
  <c r="N56" i="6" s="1"/>
  <c r="L55" i="6"/>
  <c r="M55" i="6" s="1"/>
  <c r="L54" i="6"/>
  <c r="M54" i="6" s="1"/>
  <c r="L53" i="6"/>
  <c r="M53" i="6" s="1"/>
  <c r="L50" i="6"/>
  <c r="M50" i="6" s="1"/>
  <c r="L49" i="6"/>
  <c r="M49" i="6" s="1"/>
  <c r="L48" i="6"/>
  <c r="M48" i="6" s="1"/>
  <c r="N48" i="6" s="1"/>
  <c r="L43" i="6"/>
  <c r="M43" i="6" s="1"/>
  <c r="N43" i="6" s="1"/>
  <c r="L39" i="6"/>
  <c r="M39" i="6" s="1"/>
  <c r="N39" i="6" s="1"/>
  <c r="L38" i="6"/>
  <c r="M38" i="6" s="1"/>
  <c r="N38" i="6" s="1"/>
  <c r="L36" i="6"/>
  <c r="M36" i="6" s="1"/>
  <c r="N36" i="6" s="1"/>
  <c r="L33" i="6"/>
  <c r="M33" i="6" s="1"/>
  <c r="N33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7" i="6"/>
  <c r="M27" i="6" s="1"/>
  <c r="N27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7" i="6" l="1"/>
  <c r="M47" i="6" s="1"/>
  <c r="N47" i="6" s="1"/>
  <c r="L9" i="6"/>
  <c r="L62" i="6"/>
  <c r="M62" i="6" s="1"/>
  <c r="N62" i="6" s="1"/>
  <c r="L17" i="6"/>
  <c r="M17" i="6" s="1"/>
  <c r="N17" i="6" s="1"/>
  <c r="L59" i="6"/>
  <c r="M59" i="6" s="1"/>
  <c r="N59" i="6" s="1"/>
  <c r="L51" i="6"/>
  <c r="M51" i="6" s="1"/>
  <c r="N51" i="6" s="1"/>
  <c r="L52" i="6"/>
  <c r="M52" i="6" s="1"/>
  <c r="N52" i="6" s="1"/>
  <c r="L61" i="6"/>
  <c r="M61" i="6" s="1"/>
  <c r="N61" i="6" s="1"/>
  <c r="L12" i="6"/>
  <c r="M12" i="6" s="1"/>
  <c r="N12" i="6" s="1"/>
  <c r="L35" i="6"/>
  <c r="M35" i="6" s="1"/>
  <c r="N35" i="6" s="1"/>
  <c r="L28" i="6"/>
  <c r="M28" i="6" s="1"/>
  <c r="N28" i="6" s="1"/>
  <c r="L40" i="6"/>
  <c r="M40" i="6" s="1"/>
  <c r="N40" i="6" s="1"/>
  <c r="L37" i="6"/>
  <c r="M37" i="6" s="1"/>
  <c r="N37" i="6" s="1"/>
  <c r="L46" i="6"/>
  <c r="M46" i="6" s="1"/>
  <c r="N46" i="6" s="1"/>
  <c r="L21" i="6"/>
  <c r="M21" i="6" s="1"/>
  <c r="N21" i="6" s="1"/>
  <c r="L18" i="6"/>
  <c r="M18" i="6" s="1"/>
  <c r="N18" i="6" s="1"/>
  <c r="L14" i="6"/>
  <c r="M14" i="6" s="1"/>
  <c r="N14" i="6" s="1"/>
  <c r="N55" i="6"/>
  <c r="N50" i="6"/>
  <c r="N49" i="6"/>
  <c r="N53" i="6"/>
  <c r="L42" i="6"/>
  <c r="M42" i="6" s="1"/>
  <c r="N42" i="6" s="1"/>
  <c r="N54" i="6"/>
  <c r="N60" i="6"/>
  <c r="M9" i="6" l="1"/>
  <c r="N9" i="6" l="1"/>
</calcChain>
</file>

<file path=xl/sharedStrings.xml><?xml version="1.0" encoding="utf-8"?>
<sst xmlns="http://schemas.openxmlformats.org/spreadsheetml/2006/main" count="110" uniqueCount="87">
  <si>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</si>
  <si>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</si>
  <si>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</si>
  <si>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</si>
  <si>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</si>
  <si>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</si>
  <si>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</si>
  <si>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</si>
  <si>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</si>
  <si>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</si>
  <si>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</si>
  <si>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</si>
  <si>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</si>
  <si>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</si>
  <si>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</si>
  <si>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</si>
  <si>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</si>
  <si>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</si>
  <si>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</si>
  <si>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</si>
  <si>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</si>
  <si>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</si>
  <si>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</si>
  <si>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</si>
  <si>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</si>
  <si>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</si>
  <si>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</si>
  <si>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</si>
  <si>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</si>
  <si>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</si>
  <si>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</si>
  <si>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</si>
  <si>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</si>
  <si>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</si>
  <si>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</si>
  <si>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</si>
  <si>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</si>
  <si>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</si>
  <si>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</si>
  <si>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</si>
  <si>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</si>
  <si>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</si>
  <si>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</si>
  <si>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</si>
  <si>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</si>
  <si>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</si>
  <si>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</si>
  <si>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</si>
  <si>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</si>
  <si>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</si>
  <si>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</si>
  <si>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</si>
  <si>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</si>
  <si>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</si>
  <si>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</si>
  <si>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</si>
  <si>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</si>
  <si>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</si>
  <si>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</si>
  <si>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</si>
  <si>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</si>
  <si>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</si>
  <si>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</si>
  <si>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</si>
  <si>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</si>
  <si>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</si>
  <si>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</si>
  <si>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</si>
  <si>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</si>
  <si>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</si>
  <si>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</si>
  <si>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</si>
  <si>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</si>
  <si>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</si>
  <si>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</si>
  <si>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</si>
  <si>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</si>
  <si>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</si>
  <si>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</si>
  <si>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</si>
  <si>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</si>
  <si>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</si>
  <si>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</si>
  <si>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</si>
  <si>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</si>
  <si>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</si>
  <si>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FEVEREIRO/2021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</si>
</sst>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4" fontId="0" fillId="0" borderId="3" xfId="0" applyNumberFormat="1" applyFill="1" applyBorder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164" fontId="0" fillId="0" borderId="16" xfId="0" applyNumberFormat="1" applyFill="1" applyBorder="1"/>
    <xf numFmtId="164" fontId="1" fillId="4" borderId="17" xfId="0" applyNumberFormat="1" applyFon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164" fontId="1" fillId="4" borderId="17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4" borderId="6" xfId="0" applyNumberFormat="1" applyFont="1" applyFill="1" applyBorder="1" applyProtection="1">
      <protection locked="0"/>
    </xf>
    <xf numFmtId="164" fontId="1" fillId="4" borderId="4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0" fontId="0" fillId="0" borderId="12" xfId="0" applyBorder="1"/>
    <xf numFmtId="0" fontId="0" fillId="0" borderId="18" xfId="0" applyBorder="1"/>
    <xf numFmtId="0" fontId="0" fillId="0" borderId="19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164" fontId="1" fillId="2" borderId="22" xfId="0" applyNumberFormat="1" applyFont="1" applyFill="1" applyBorder="1"/>
    <xf numFmtId="164" fontId="1" fillId="2" borderId="23" xfId="0" applyNumberFormat="1" applyFont="1" applyFill="1" applyBorder="1"/>
    <xf numFmtId="0" fontId="1" fillId="3" borderId="1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" fillId="0" borderId="16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6" xfId="0" applyNumberFormat="1" applyFont="1" applyBorder="1" applyProtection="1">
      <protection locked="0"/>
    </xf>
    <xf numFmtId="164" fontId="1" fillId="0" borderId="16" xfId="0" applyNumberFormat="1" applyFont="1" applyBorder="1" applyAlignment="1" applyProtection="1">
      <alignment horizontal="right"/>
      <protection locked="0"/>
    </xf>
    <xf numFmtId="49" fontId="8" fillId="2" borderId="9" xfId="0" applyNumberFormat="1" applyFont="1" applyFill="1" applyBorder="1" applyAlignme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10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5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90" sqref="C90"/>
    </sheetView>
  </sheetViews>
  <sheetFormatPr defaultRowHeight="15" outlineLevelCol="1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hidden="1" customWidth="1" outlineLevel="1"/>
    <col min="17" max="17" width="9.140625" collapsed="1"/>
  </cols>
  <sheetData>
    <row r="1" spans="1:17" ht="16.5" x14ac:dyDescent="0.25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7" ht="16.5" x14ac:dyDescent="0.25">
      <c r="A2" s="56" t="s">
        <v>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7" ht="4.5" customHeight="1" thickBo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7" ht="19.5" thickBot="1" x14ac:dyDescent="0.35">
      <c r="A4" s="55" t="s">
        <v>86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7" x14ac:dyDescent="0.25">
      <c r="A5" s="58" t="s">
        <v>56</v>
      </c>
      <c r="B5" s="60" t="s">
        <v>46</v>
      </c>
      <c r="C5" s="64" t="s">
        <v>73</v>
      </c>
      <c r="D5" s="62" t="s">
        <v>47</v>
      </c>
      <c r="E5" s="62" t="s">
        <v>74</v>
      </c>
      <c r="F5" s="37" t="s">
        <v>75</v>
      </c>
      <c r="G5" s="41" t="s">
        <v>77</v>
      </c>
      <c r="H5" s="10" t="s">
        <v>59</v>
      </c>
      <c r="I5" s="29" t="s">
        <v>48</v>
      </c>
      <c r="J5" s="62" t="s">
        <v>50</v>
      </c>
      <c r="K5" s="62" t="s">
        <v>51</v>
      </c>
      <c r="L5" s="10" t="s">
        <v>52</v>
      </c>
      <c r="M5" s="10" t="s">
        <v>54</v>
      </c>
      <c r="N5" s="31" t="s">
        <v>48</v>
      </c>
    </row>
    <row r="6" spans="1:17" ht="15.75" thickBot="1" x14ac:dyDescent="0.3">
      <c r="A6" s="59"/>
      <c r="B6" s="61"/>
      <c r="C6" s="65"/>
      <c r="D6" s="63"/>
      <c r="E6" s="63"/>
      <c r="F6" s="40" t="s">
        <v>76</v>
      </c>
      <c r="G6" s="42" t="s">
        <v>61</v>
      </c>
      <c r="H6" s="11" t="s">
        <v>60</v>
      </c>
      <c r="I6" s="30" t="s">
        <v>49</v>
      </c>
      <c r="J6" s="63"/>
      <c r="K6" s="63"/>
      <c r="L6" s="11" t="s">
        <v>53</v>
      </c>
      <c r="M6" s="11" t="s">
        <v>53</v>
      </c>
      <c r="N6" s="32" t="s">
        <v>55</v>
      </c>
    </row>
    <row r="7" spans="1:17" x14ac:dyDescent="0.25">
      <c r="A7" s="22" t="s">
        <v>0</v>
      </c>
      <c r="B7" s="17">
        <f>10382.27+5087.31</f>
        <v>15469.580000000002</v>
      </c>
      <c r="C7" s="43">
        <v>4152.91</v>
      </c>
      <c r="D7" s="48"/>
      <c r="E7" s="48"/>
      <c r="F7" s="48"/>
      <c r="G7" s="48"/>
      <c r="H7" s="49"/>
      <c r="I7" s="14">
        <f>SUM(B7:H7)</f>
        <v>19622.490000000002</v>
      </c>
      <c r="J7" s="4">
        <v>4267.8999999999996</v>
      </c>
      <c r="K7" s="4">
        <v>751.97</v>
      </c>
      <c r="L7" s="3">
        <f t="shared" ref="L7:L13" si="0">I7-J7-K7-P7</f>
        <v>766.94000000000233</v>
      </c>
      <c r="M7" s="2">
        <f>SUM(J7:L7)</f>
        <v>5786.8100000000022</v>
      </c>
      <c r="N7" s="25">
        <f>SUM(I7-M7)</f>
        <v>13835.68</v>
      </c>
      <c r="O7" s="33"/>
      <c r="P7" s="34">
        <v>13835.68</v>
      </c>
    </row>
    <row r="8" spans="1:17" x14ac:dyDescent="0.25">
      <c r="A8" s="23" t="s">
        <v>1</v>
      </c>
      <c r="B8" s="18">
        <v>5359.33</v>
      </c>
      <c r="C8" s="44"/>
      <c r="D8" s="50"/>
      <c r="E8" s="50"/>
      <c r="F8" s="50"/>
      <c r="G8" s="50"/>
      <c r="H8" s="51"/>
      <c r="I8" s="15">
        <f>SUM(B8:H8)</f>
        <v>5359.33</v>
      </c>
      <c r="J8" s="5">
        <v>439.02</v>
      </c>
      <c r="K8" s="5">
        <v>601.58000000000004</v>
      </c>
      <c r="L8" s="3">
        <f t="shared" si="0"/>
        <v>41.059999999999491</v>
      </c>
      <c r="M8" s="3">
        <f t="shared" ref="M8:M66" si="1">SUM(J8:L8)</f>
        <v>1081.6599999999994</v>
      </c>
      <c r="N8" s="26">
        <f t="shared" ref="N8:N66" si="2">SUM(I8-M8)</f>
        <v>4277.67</v>
      </c>
      <c r="O8" s="33"/>
      <c r="P8" s="34">
        <v>4277.67</v>
      </c>
    </row>
    <row r="9" spans="1:17" x14ac:dyDescent="0.25">
      <c r="A9" s="23" t="s">
        <v>2</v>
      </c>
      <c r="B9" s="18">
        <v>2481.77</v>
      </c>
      <c r="C9" s="44"/>
      <c r="D9" s="50"/>
      <c r="E9" s="50"/>
      <c r="F9" s="50"/>
      <c r="G9" s="50"/>
      <c r="H9" s="51"/>
      <c r="I9" s="15">
        <f t="shared" ref="I9:I42" si="3">SUM(B9:H9)</f>
        <v>2481.77</v>
      </c>
      <c r="J9" s="5"/>
      <c r="K9" s="5">
        <v>214.78</v>
      </c>
      <c r="L9" s="3">
        <f t="shared" si="0"/>
        <v>1196.6099999999997</v>
      </c>
      <c r="M9" s="3">
        <f t="shared" si="1"/>
        <v>1411.3899999999996</v>
      </c>
      <c r="N9" s="26">
        <f t="shared" si="2"/>
        <v>1070.3800000000003</v>
      </c>
      <c r="O9" s="33"/>
      <c r="P9" s="34">
        <v>1070.3800000000001</v>
      </c>
    </row>
    <row r="10" spans="1:17" x14ac:dyDescent="0.25">
      <c r="A10" s="23" t="s">
        <v>69</v>
      </c>
      <c r="B10" s="18">
        <v>4314.26</v>
      </c>
      <c r="C10" s="44"/>
      <c r="D10" s="50"/>
      <c r="E10" s="50"/>
      <c r="F10" s="50"/>
      <c r="G10" s="50"/>
      <c r="H10" s="51"/>
      <c r="I10" s="15">
        <f t="shared" si="3"/>
        <v>4314.26</v>
      </c>
      <c r="J10" s="5">
        <v>232.14</v>
      </c>
      <c r="K10" s="5">
        <v>455.27</v>
      </c>
      <c r="L10" s="3">
        <f t="shared" ref="L10" si="4">I10-J10-K10-P10</f>
        <v>41.0600000000004</v>
      </c>
      <c r="M10" s="3">
        <f t="shared" ref="M10" si="5">SUM(J10:L10)</f>
        <v>728.47000000000037</v>
      </c>
      <c r="N10" s="26">
        <f t="shared" ref="N10" si="6">SUM(I10-M10)</f>
        <v>3585.79</v>
      </c>
      <c r="O10" s="33"/>
      <c r="P10" s="34">
        <v>3585.79</v>
      </c>
    </row>
    <row r="11" spans="1:17" x14ac:dyDescent="0.25">
      <c r="A11" s="23" t="s">
        <v>65</v>
      </c>
      <c r="B11" s="18">
        <f>1826.35+56.53</f>
        <v>1882.8799999999999</v>
      </c>
      <c r="C11" s="44">
        <v>1210</v>
      </c>
      <c r="D11" s="50"/>
      <c r="E11" s="50"/>
      <c r="F11" s="50"/>
      <c r="G11" s="50"/>
      <c r="H11" s="51"/>
      <c r="I11" s="15">
        <f t="shared" si="3"/>
        <v>3092.88</v>
      </c>
      <c r="J11" s="5">
        <v>67.53</v>
      </c>
      <c r="K11" s="5">
        <v>288.52999999999997</v>
      </c>
      <c r="L11" s="3">
        <f t="shared" si="0"/>
        <v>96.789999999999509</v>
      </c>
      <c r="M11" s="3">
        <f t="shared" si="1"/>
        <v>452.84999999999945</v>
      </c>
      <c r="N11" s="26">
        <f t="shared" si="2"/>
        <v>2640.0300000000007</v>
      </c>
      <c r="O11" s="33"/>
      <c r="P11" s="34">
        <v>2640.03</v>
      </c>
    </row>
    <row r="12" spans="1:17" x14ac:dyDescent="0.25">
      <c r="A12" s="23" t="s">
        <v>3</v>
      </c>
      <c r="B12" s="18">
        <v>2664.07</v>
      </c>
      <c r="C12" s="44"/>
      <c r="D12" s="50"/>
      <c r="E12" s="50"/>
      <c r="F12" s="50"/>
      <c r="G12" s="50"/>
      <c r="H12" s="51"/>
      <c r="I12" s="15">
        <f t="shared" si="3"/>
        <v>2664.07</v>
      </c>
      <c r="J12" s="5">
        <v>25</v>
      </c>
      <c r="K12" s="5">
        <v>237.08</v>
      </c>
      <c r="L12" s="3">
        <f t="shared" si="0"/>
        <v>996.19000000000028</v>
      </c>
      <c r="M12" s="3">
        <f t="shared" si="1"/>
        <v>1258.2700000000004</v>
      </c>
      <c r="N12" s="26">
        <f>SUM(I12-M12)+G12</f>
        <v>1405.7999999999997</v>
      </c>
      <c r="O12" s="33"/>
      <c r="P12" s="34">
        <v>1405.8</v>
      </c>
      <c r="Q12" s="1"/>
    </row>
    <row r="13" spans="1:17" x14ac:dyDescent="0.25">
      <c r="A13" s="23" t="s">
        <v>4</v>
      </c>
      <c r="B13" s="18">
        <v>3617.77</v>
      </c>
      <c r="C13" s="44"/>
      <c r="D13" s="50"/>
      <c r="E13" s="50"/>
      <c r="F13" s="50"/>
      <c r="G13" s="50"/>
      <c r="H13" s="51"/>
      <c r="I13" s="15">
        <f t="shared" si="3"/>
        <v>3617.77</v>
      </c>
      <c r="J13" s="5">
        <v>105.76</v>
      </c>
      <c r="K13" s="5">
        <v>357.76</v>
      </c>
      <c r="L13" s="3">
        <f t="shared" si="0"/>
        <v>1014.1599999999999</v>
      </c>
      <c r="M13" s="3">
        <f t="shared" si="1"/>
        <v>1477.6799999999998</v>
      </c>
      <c r="N13" s="26">
        <f t="shared" si="2"/>
        <v>2140.09</v>
      </c>
      <c r="O13" s="33"/>
      <c r="P13" s="34">
        <v>2140.09</v>
      </c>
    </row>
    <row r="14" spans="1:17" x14ac:dyDescent="0.25">
      <c r="A14" s="23" t="s">
        <v>5</v>
      </c>
      <c r="B14" s="18">
        <f>9983.79+4941.98+0.6</f>
        <v>14926.37</v>
      </c>
      <c r="C14" s="44">
        <f>3993.52+998.38+360</f>
        <v>5351.9</v>
      </c>
      <c r="D14" s="50"/>
      <c r="E14" s="50">
        <f>199.68+1996.76+988.4+1328.05+798.7</f>
        <v>5311.59</v>
      </c>
      <c r="F14" s="50">
        <f>159.74+1597.41+790.72+1062.28+638.96</f>
        <v>4249.1099999999997</v>
      </c>
      <c r="G14" s="50">
        <f>5990.28+2965.19+599.03+2396.11</f>
        <v>11950.61</v>
      </c>
      <c r="H14" s="51"/>
      <c r="I14" s="15">
        <f t="shared" si="3"/>
        <v>41789.58</v>
      </c>
      <c r="J14" s="5">
        <f>4663.83+427.87</f>
        <v>5091.7</v>
      </c>
      <c r="K14" s="5">
        <f>38.89+713.08</f>
        <v>751.97</v>
      </c>
      <c r="L14" s="3">
        <f>I14-J14-K14-P14</f>
        <v>20594.000000000004</v>
      </c>
      <c r="M14" s="3">
        <f t="shared" si="1"/>
        <v>26437.670000000006</v>
      </c>
      <c r="N14" s="26">
        <f t="shared" si="2"/>
        <v>15351.909999999996</v>
      </c>
      <c r="O14" s="33"/>
      <c r="P14" s="34">
        <v>15351.91</v>
      </c>
    </row>
    <row r="15" spans="1:17" x14ac:dyDescent="0.25">
      <c r="A15" s="23" t="s">
        <v>6</v>
      </c>
      <c r="B15" s="18">
        <f>10370.38+3608.89</f>
        <v>13979.269999999999</v>
      </c>
      <c r="C15" s="44">
        <v>2074.08</v>
      </c>
      <c r="D15" s="50"/>
      <c r="E15" s="50"/>
      <c r="F15" s="50"/>
      <c r="G15" s="50"/>
      <c r="H15" s="51"/>
      <c r="I15" s="15">
        <f t="shared" si="3"/>
        <v>16053.349999999999</v>
      </c>
      <c r="J15" s="5">
        <v>3286.38</v>
      </c>
      <c r="K15" s="5">
        <v>751.97</v>
      </c>
      <c r="L15" s="3">
        <f t="shared" ref="L15:L43" si="7">I15-J15-K15-P15</f>
        <v>214.99999999999818</v>
      </c>
      <c r="M15" s="3">
        <f t="shared" si="1"/>
        <v>4253.3499999999985</v>
      </c>
      <c r="N15" s="26">
        <f t="shared" si="2"/>
        <v>11800</v>
      </c>
      <c r="O15" s="33"/>
      <c r="P15" s="34">
        <v>11800</v>
      </c>
    </row>
    <row r="16" spans="1:17" x14ac:dyDescent="0.25">
      <c r="A16" s="23" t="s">
        <v>7</v>
      </c>
      <c r="B16" s="18">
        <f>11980.55+3522.28</f>
        <v>15502.83</v>
      </c>
      <c r="C16" s="44">
        <v>4792.22</v>
      </c>
      <c r="D16" s="50"/>
      <c r="E16" s="50"/>
      <c r="F16" s="50"/>
      <c r="G16" s="50"/>
      <c r="H16" s="51"/>
      <c r="I16" s="15">
        <f t="shared" si="3"/>
        <v>20295.05</v>
      </c>
      <c r="J16" s="5">
        <v>4504.99</v>
      </c>
      <c r="K16" s="5">
        <v>751.97</v>
      </c>
      <c r="L16" s="3">
        <f t="shared" si="7"/>
        <v>107.20000000000073</v>
      </c>
      <c r="M16" s="3">
        <f t="shared" si="1"/>
        <v>5364.1600000000008</v>
      </c>
      <c r="N16" s="26">
        <f t="shared" si="2"/>
        <v>14930.89</v>
      </c>
      <c r="O16" s="33"/>
      <c r="P16" s="34">
        <v>14930.89</v>
      </c>
    </row>
    <row r="17" spans="1:16" x14ac:dyDescent="0.25">
      <c r="A17" s="23" t="s">
        <v>8</v>
      </c>
      <c r="B17" s="18">
        <v>2456.08</v>
      </c>
      <c r="C17" s="44"/>
      <c r="D17" s="50"/>
      <c r="E17" s="50"/>
      <c r="F17" s="50"/>
      <c r="G17" s="50"/>
      <c r="H17" s="51"/>
      <c r="I17" s="15">
        <f t="shared" si="3"/>
        <v>2456.08</v>
      </c>
      <c r="J17" s="5">
        <v>25.5</v>
      </c>
      <c r="K17" s="5">
        <v>212.12</v>
      </c>
      <c r="L17" s="3">
        <f t="shared" si="7"/>
        <v>17.490000000000236</v>
      </c>
      <c r="M17" s="3">
        <f t="shared" si="1"/>
        <v>255.11000000000024</v>
      </c>
      <c r="N17" s="26">
        <f t="shared" si="2"/>
        <v>2200.9699999999998</v>
      </c>
      <c r="O17" s="33"/>
      <c r="P17" s="34">
        <v>2200.9699999999998</v>
      </c>
    </row>
    <row r="18" spans="1:16" x14ac:dyDescent="0.25">
      <c r="A18" s="23" t="s">
        <v>9</v>
      </c>
      <c r="B18" s="18">
        <v>2244.59</v>
      </c>
      <c r="C18" s="44"/>
      <c r="D18" s="50"/>
      <c r="E18" s="50"/>
      <c r="F18" s="50"/>
      <c r="G18" s="50"/>
      <c r="H18" s="51"/>
      <c r="I18" s="15">
        <f t="shared" si="3"/>
        <v>2244.59</v>
      </c>
      <c r="J18" s="5">
        <v>11.54</v>
      </c>
      <c r="K18" s="5">
        <v>186.74</v>
      </c>
      <c r="L18" s="3">
        <f t="shared" si="7"/>
        <v>121.92000000000007</v>
      </c>
      <c r="M18" s="3">
        <f t="shared" si="1"/>
        <v>320.20000000000005</v>
      </c>
      <c r="N18" s="26">
        <f t="shared" si="2"/>
        <v>1924.39</v>
      </c>
      <c r="O18" s="33"/>
      <c r="P18" s="34">
        <v>1924.39</v>
      </c>
    </row>
    <row r="19" spans="1:16" x14ac:dyDescent="0.25">
      <c r="A19" s="23" t="s">
        <v>68</v>
      </c>
      <c r="B19" s="18">
        <v>2722.96</v>
      </c>
      <c r="C19" s="44"/>
      <c r="D19" s="50"/>
      <c r="E19" s="50"/>
      <c r="F19" s="50"/>
      <c r="G19" s="50"/>
      <c r="H19" s="51"/>
      <c r="I19" s="15">
        <f t="shared" si="3"/>
        <v>2722.96</v>
      </c>
      <c r="J19" s="5">
        <v>28.89</v>
      </c>
      <c r="K19" s="5">
        <v>244.14</v>
      </c>
      <c r="L19" s="3">
        <f t="shared" si="7"/>
        <v>251.00000000000045</v>
      </c>
      <c r="M19" s="3">
        <f t="shared" si="1"/>
        <v>524.03000000000043</v>
      </c>
      <c r="N19" s="26">
        <f t="shared" si="2"/>
        <v>2198.9299999999994</v>
      </c>
      <c r="O19" s="33"/>
      <c r="P19" s="34">
        <v>2198.9299999999998</v>
      </c>
    </row>
    <row r="20" spans="1:16" x14ac:dyDescent="0.25">
      <c r="A20" s="23" t="s">
        <v>10</v>
      </c>
      <c r="B20" s="18">
        <f>5026.06+844.38</f>
        <v>5870.4400000000005</v>
      </c>
      <c r="C20" s="44">
        <v>1005.21</v>
      </c>
      <c r="D20" s="50"/>
      <c r="E20" s="50"/>
      <c r="F20" s="50"/>
      <c r="G20" s="50"/>
      <c r="H20" s="51"/>
      <c r="I20" s="15">
        <f t="shared" si="3"/>
        <v>6875.6500000000005</v>
      </c>
      <c r="J20" s="5">
        <v>658.24</v>
      </c>
      <c r="K20" s="5">
        <f>379.66+372.31</f>
        <v>751.97</v>
      </c>
      <c r="L20" s="3">
        <f t="shared" si="7"/>
        <v>513.90000000000055</v>
      </c>
      <c r="M20" s="3">
        <f t="shared" si="1"/>
        <v>1924.1100000000006</v>
      </c>
      <c r="N20" s="26">
        <f t="shared" si="2"/>
        <v>4951.54</v>
      </c>
      <c r="O20" s="33"/>
      <c r="P20" s="34">
        <v>4951.54</v>
      </c>
    </row>
    <row r="21" spans="1:16" x14ac:dyDescent="0.25">
      <c r="A21" s="23" t="s">
        <v>11</v>
      </c>
      <c r="B21" s="18">
        <f>1364.49+109.16</f>
        <v>1473.65</v>
      </c>
      <c r="C21" s="44"/>
      <c r="D21" s="50"/>
      <c r="E21" s="50">
        <f>909.66+72.77+327.48</f>
        <v>1309.9099999999999</v>
      </c>
      <c r="F21" s="50"/>
      <c r="G21" s="50">
        <f>1137.08+90.97</f>
        <v>1228.05</v>
      </c>
      <c r="H21" s="51"/>
      <c r="I21" s="15">
        <f t="shared" si="3"/>
        <v>4011.6099999999997</v>
      </c>
      <c r="J21" s="5"/>
      <c r="K21" s="5">
        <f>143.42+107.99</f>
        <v>251.40999999999997</v>
      </c>
      <c r="L21" s="3">
        <f t="shared" si="7"/>
        <v>2436.09</v>
      </c>
      <c r="M21" s="3">
        <f t="shared" si="1"/>
        <v>2687.5</v>
      </c>
      <c r="N21" s="26">
        <f t="shared" si="2"/>
        <v>1324.1099999999997</v>
      </c>
      <c r="O21" s="33"/>
      <c r="P21" s="34">
        <v>1324.11</v>
      </c>
    </row>
    <row r="22" spans="1:16" x14ac:dyDescent="0.25">
      <c r="A22" s="23" t="s">
        <v>12</v>
      </c>
      <c r="B22" s="18">
        <f>13212.02+7451.58</f>
        <v>20663.599999999999</v>
      </c>
      <c r="C22" s="44">
        <v>17836.23</v>
      </c>
      <c r="D22" s="50"/>
      <c r="E22" s="50"/>
      <c r="F22" s="50"/>
      <c r="G22" s="50"/>
      <c r="H22" s="51"/>
      <c r="I22" s="15">
        <f t="shared" si="3"/>
        <v>38499.83</v>
      </c>
      <c r="J22" s="5">
        <v>9511.2999999999993</v>
      </c>
      <c r="K22" s="5">
        <v>751.97</v>
      </c>
      <c r="L22" s="3">
        <f t="shared" si="7"/>
        <v>285.30000000000291</v>
      </c>
      <c r="M22" s="3">
        <f t="shared" si="1"/>
        <v>10548.570000000002</v>
      </c>
      <c r="N22" s="26">
        <f t="shared" si="2"/>
        <v>27951.260000000002</v>
      </c>
      <c r="O22" s="33"/>
      <c r="P22" s="34">
        <v>27951.26</v>
      </c>
    </row>
    <row r="23" spans="1:16" x14ac:dyDescent="0.25">
      <c r="A23" s="23" t="s">
        <v>13</v>
      </c>
      <c r="B23" s="18">
        <f>11980.55+3737.93</f>
        <v>15718.48</v>
      </c>
      <c r="C23" s="44">
        <v>2396.11</v>
      </c>
      <c r="D23" s="50"/>
      <c r="E23" s="50"/>
      <c r="F23" s="50"/>
      <c r="G23" s="50"/>
      <c r="H23" s="51"/>
      <c r="I23" s="15">
        <f t="shared" si="3"/>
        <v>18114.59</v>
      </c>
      <c r="J23" s="5">
        <v>3853.22</v>
      </c>
      <c r="K23" s="5">
        <v>751.97</v>
      </c>
      <c r="L23" s="3">
        <f t="shared" si="7"/>
        <v>1671.3600000000006</v>
      </c>
      <c r="M23" s="3">
        <f t="shared" si="1"/>
        <v>6276.55</v>
      </c>
      <c r="N23" s="26">
        <f t="shared" si="2"/>
        <v>11838.04</v>
      </c>
      <c r="O23" s="33"/>
      <c r="P23" s="34">
        <v>11838.04</v>
      </c>
    </row>
    <row r="24" spans="1:16" x14ac:dyDescent="0.25">
      <c r="A24" s="23" t="s">
        <v>14</v>
      </c>
      <c r="B24" s="18">
        <f>4347.21+956.39</f>
        <v>5303.6</v>
      </c>
      <c r="C24" s="44"/>
      <c r="D24" s="50"/>
      <c r="E24" s="50">
        <f>869.44+191.28+353.57</f>
        <v>1414.29</v>
      </c>
      <c r="F24" s="50"/>
      <c r="G24" s="50">
        <f>2608.32+573.83</f>
        <v>3182.15</v>
      </c>
      <c r="H24" s="51"/>
      <c r="I24" s="15">
        <f t="shared" si="3"/>
        <v>9900.0400000000009</v>
      </c>
      <c r="J24" s="5">
        <v>327.60000000000002</v>
      </c>
      <c r="K24" s="5">
        <f>299.04+452.93</f>
        <v>751.97</v>
      </c>
      <c r="L24" s="3">
        <f t="shared" si="7"/>
        <v>5806.8200000000015</v>
      </c>
      <c r="M24" s="3">
        <f t="shared" si="1"/>
        <v>6886.3900000000012</v>
      </c>
      <c r="N24" s="26">
        <f t="shared" si="2"/>
        <v>3013.6499999999996</v>
      </c>
      <c r="O24" s="33"/>
      <c r="P24" s="34">
        <v>3013.65</v>
      </c>
    </row>
    <row r="25" spans="1:16" x14ac:dyDescent="0.25">
      <c r="A25" s="23" t="s">
        <v>85</v>
      </c>
      <c r="B25" s="18">
        <v>1755.42</v>
      </c>
      <c r="C25" s="44"/>
      <c r="D25" s="50"/>
      <c r="E25" s="50"/>
      <c r="F25" s="50"/>
      <c r="G25" s="50"/>
      <c r="H25" s="51"/>
      <c r="I25" s="15">
        <f t="shared" si="3"/>
        <v>1755.42</v>
      </c>
      <c r="J25" s="5"/>
      <c r="K25" s="5">
        <v>141.47999999999999</v>
      </c>
      <c r="L25" s="3">
        <f t="shared" ref="L25" si="8">I25-J25-K25-P25</f>
        <v>6.1200000000001182</v>
      </c>
      <c r="M25" s="3">
        <f t="shared" ref="M25" si="9">SUM(J25:L25)</f>
        <v>147.60000000000011</v>
      </c>
      <c r="N25" s="26">
        <f t="shared" ref="N25" si="10">SUM(I25-M25)</f>
        <v>1607.82</v>
      </c>
      <c r="O25" s="33"/>
      <c r="P25" s="34">
        <v>1607.82</v>
      </c>
    </row>
    <row r="26" spans="1:16" x14ac:dyDescent="0.25">
      <c r="A26" s="23" t="s">
        <v>62</v>
      </c>
      <c r="B26" s="18">
        <v>2860.75</v>
      </c>
      <c r="C26" s="44">
        <v>300</v>
      </c>
      <c r="D26" s="50"/>
      <c r="E26" s="50"/>
      <c r="F26" s="50"/>
      <c r="G26" s="50"/>
      <c r="H26" s="51"/>
      <c r="I26" s="15">
        <f t="shared" si="3"/>
        <v>3160.75</v>
      </c>
      <c r="J26" s="5">
        <v>74.81</v>
      </c>
      <c r="K26" s="5">
        <v>296.68</v>
      </c>
      <c r="L26" s="3">
        <f t="shared" si="7"/>
        <v>104.74000000000024</v>
      </c>
      <c r="M26" s="3">
        <f t="shared" si="1"/>
        <v>476.23000000000025</v>
      </c>
      <c r="N26" s="26">
        <f t="shared" si="2"/>
        <v>2684.5199999999995</v>
      </c>
      <c r="O26" s="33"/>
      <c r="P26" s="34">
        <v>2684.52</v>
      </c>
    </row>
    <row r="27" spans="1:16" x14ac:dyDescent="0.25">
      <c r="A27" s="23" t="s">
        <v>15</v>
      </c>
      <c r="B27" s="18">
        <f>11980.55+3737.93</f>
        <v>15718.48</v>
      </c>
      <c r="C27" s="44">
        <v>2396.11</v>
      </c>
      <c r="D27" s="50"/>
      <c r="E27" s="50"/>
      <c r="F27" s="50"/>
      <c r="G27" s="50"/>
      <c r="H27" s="51"/>
      <c r="I27" s="15">
        <f t="shared" si="3"/>
        <v>18114.59</v>
      </c>
      <c r="J27" s="5">
        <v>3853.22</v>
      </c>
      <c r="K27" s="5">
        <v>751.97</v>
      </c>
      <c r="L27" s="3">
        <f t="shared" si="7"/>
        <v>4325.4100000000017</v>
      </c>
      <c r="M27" s="3">
        <f t="shared" si="1"/>
        <v>8930.6000000000022</v>
      </c>
      <c r="N27" s="26">
        <f t="shared" si="2"/>
        <v>9183.989999999998</v>
      </c>
      <c r="O27" s="33"/>
      <c r="P27" s="34">
        <v>9183.99</v>
      </c>
    </row>
    <row r="28" spans="1:16" x14ac:dyDescent="0.25">
      <c r="A28" s="23" t="s">
        <v>16</v>
      </c>
      <c r="B28" s="18">
        <f>3129.99+939</f>
        <v>4068.99</v>
      </c>
      <c r="C28" s="44"/>
      <c r="D28" s="50"/>
      <c r="E28" s="50">
        <f>2086.66+626+904.22</f>
        <v>3616.88</v>
      </c>
      <c r="F28" s="50"/>
      <c r="G28" s="50">
        <f>2608.32+782.5</f>
        <v>3390.82</v>
      </c>
      <c r="H28" s="51"/>
      <c r="I28" s="15">
        <f t="shared" si="3"/>
        <v>11076.69</v>
      </c>
      <c r="J28" s="5">
        <f>143.98+193.85</f>
        <v>337.83</v>
      </c>
      <c r="K28" s="5">
        <f>364.59+387.38</f>
        <v>751.97</v>
      </c>
      <c r="L28" s="3">
        <f t="shared" si="7"/>
        <v>6432.5900000000011</v>
      </c>
      <c r="M28" s="3">
        <f t="shared" si="1"/>
        <v>7522.3900000000012</v>
      </c>
      <c r="N28" s="26">
        <f>SUM(I28-M28)+G28</f>
        <v>6945.119999999999</v>
      </c>
      <c r="O28" s="33"/>
      <c r="P28" s="34">
        <v>3554.3</v>
      </c>
    </row>
    <row r="29" spans="1:16" x14ac:dyDescent="0.25">
      <c r="A29" s="23" t="s">
        <v>17</v>
      </c>
      <c r="B29" s="18">
        <v>7426.39</v>
      </c>
      <c r="C29" s="44"/>
      <c r="D29" s="50"/>
      <c r="E29" s="50"/>
      <c r="F29" s="50"/>
      <c r="G29" s="50"/>
      <c r="H29" s="51"/>
      <c r="I29" s="15">
        <f t="shared" si="3"/>
        <v>7426.39</v>
      </c>
      <c r="J29" s="5">
        <v>966.11</v>
      </c>
      <c r="K29" s="5">
        <f>384.75+367.22</f>
        <v>751.97</v>
      </c>
      <c r="L29" s="3">
        <f t="shared" si="7"/>
        <v>6.1200000000008004</v>
      </c>
      <c r="M29" s="3">
        <f t="shared" si="1"/>
        <v>1724.2000000000007</v>
      </c>
      <c r="N29" s="26">
        <f t="shared" si="2"/>
        <v>5702.19</v>
      </c>
      <c r="O29" s="33"/>
      <c r="P29" s="34">
        <v>5702.19</v>
      </c>
    </row>
    <row r="30" spans="1:16" x14ac:dyDescent="0.25">
      <c r="A30" s="23" t="s">
        <v>18</v>
      </c>
      <c r="B30" s="18">
        <v>2362.52</v>
      </c>
      <c r="C30" s="44"/>
      <c r="D30" s="50"/>
      <c r="E30" s="50"/>
      <c r="F30" s="50"/>
      <c r="G30" s="50"/>
      <c r="H30" s="51"/>
      <c r="I30" s="15">
        <f t="shared" si="3"/>
        <v>2362.52</v>
      </c>
      <c r="J30" s="5">
        <v>19.32</v>
      </c>
      <c r="K30" s="5">
        <v>200.89</v>
      </c>
      <c r="L30" s="3">
        <f t="shared" si="7"/>
        <v>185.36999999999989</v>
      </c>
      <c r="M30" s="3">
        <f t="shared" si="1"/>
        <v>405.57999999999987</v>
      </c>
      <c r="N30" s="26">
        <f t="shared" si="2"/>
        <v>1956.94</v>
      </c>
      <c r="O30" s="33"/>
      <c r="P30" s="34">
        <v>1956.94</v>
      </c>
    </row>
    <row r="31" spans="1:16" x14ac:dyDescent="0.25">
      <c r="A31" s="23" t="s">
        <v>19</v>
      </c>
      <c r="B31" s="18">
        <f>4294.59+1058.92</f>
        <v>5353.51</v>
      </c>
      <c r="C31" s="44">
        <v>1000</v>
      </c>
      <c r="D31" s="50"/>
      <c r="E31" s="50"/>
      <c r="F31" s="50"/>
      <c r="G31" s="50"/>
      <c r="H31" s="51"/>
      <c r="I31" s="15">
        <f t="shared" si="3"/>
        <v>6353.51</v>
      </c>
      <c r="J31" s="5">
        <v>569.87</v>
      </c>
      <c r="K31" s="5">
        <v>740.77</v>
      </c>
      <c r="L31" s="3">
        <f t="shared" si="7"/>
        <v>667.90000000000055</v>
      </c>
      <c r="M31" s="3">
        <f t="shared" si="1"/>
        <v>1978.5400000000004</v>
      </c>
      <c r="N31" s="26">
        <f t="shared" si="2"/>
        <v>4374.9699999999993</v>
      </c>
      <c r="O31" s="33"/>
      <c r="P31" s="34">
        <v>4374.97</v>
      </c>
    </row>
    <row r="32" spans="1:16" x14ac:dyDescent="0.25">
      <c r="A32" s="23" t="s">
        <v>20</v>
      </c>
      <c r="B32" s="18">
        <f>6199.11</f>
        <v>6199.11</v>
      </c>
      <c r="C32" s="44"/>
      <c r="D32" s="50"/>
      <c r="E32" s="50"/>
      <c r="F32" s="50"/>
      <c r="G32" s="50"/>
      <c r="H32" s="51"/>
      <c r="I32" s="15">
        <f t="shared" si="3"/>
        <v>6199.11</v>
      </c>
      <c r="J32" s="5">
        <v>621.72</v>
      </c>
      <c r="K32" s="5">
        <v>709.73</v>
      </c>
      <c r="L32" s="3">
        <f t="shared" si="7"/>
        <v>304.28999999999996</v>
      </c>
      <c r="M32" s="3">
        <f t="shared" si="1"/>
        <v>1635.74</v>
      </c>
      <c r="N32" s="26">
        <f t="shared" si="2"/>
        <v>4563.37</v>
      </c>
      <c r="O32" s="33"/>
      <c r="P32" s="34">
        <v>4563.37</v>
      </c>
    </row>
    <row r="33" spans="1:16" x14ac:dyDescent="0.25">
      <c r="A33" s="23" t="s">
        <v>21</v>
      </c>
      <c r="B33" s="18">
        <v>7308.24</v>
      </c>
      <c r="C33" s="44"/>
      <c r="D33" s="50"/>
      <c r="E33" s="50"/>
      <c r="F33" s="50"/>
      <c r="G33" s="50"/>
      <c r="H33" s="51"/>
      <c r="I33" s="15">
        <f t="shared" si="3"/>
        <v>7308.24</v>
      </c>
      <c r="J33" s="5">
        <v>933.61</v>
      </c>
      <c r="K33" s="5">
        <v>751.97</v>
      </c>
      <c r="L33" s="3">
        <f t="shared" si="7"/>
        <v>390.63000000000011</v>
      </c>
      <c r="M33" s="3">
        <f t="shared" si="1"/>
        <v>2076.21</v>
      </c>
      <c r="N33" s="26">
        <f t="shared" si="2"/>
        <v>5232.03</v>
      </c>
      <c r="O33" s="33"/>
      <c r="P33" s="34">
        <v>5232.03</v>
      </c>
    </row>
    <row r="34" spans="1:16" x14ac:dyDescent="0.25">
      <c r="A34" s="23" t="s">
        <v>66</v>
      </c>
      <c r="B34" s="18">
        <f>3849.08+76.98</f>
        <v>3926.06</v>
      </c>
      <c r="C34" s="44"/>
      <c r="D34" s="50"/>
      <c r="E34" s="50">
        <f>592.17+11.84+201.34</f>
        <v>805.35</v>
      </c>
      <c r="F34" s="50"/>
      <c r="G34" s="50"/>
      <c r="H34" s="51"/>
      <c r="I34" s="15">
        <f t="shared" si="3"/>
        <v>4731.41</v>
      </c>
      <c r="J34" s="5">
        <v>171.15</v>
      </c>
      <c r="K34" s="5">
        <f>419.73+93.94</f>
        <v>513.67000000000007</v>
      </c>
      <c r="L34" s="3">
        <f t="shared" ref="L34" si="11">I34-J34-K34-P34</f>
        <v>752.47000000000025</v>
      </c>
      <c r="M34" s="3">
        <f t="shared" ref="M34" si="12">SUM(J34:L34)</f>
        <v>1437.2900000000004</v>
      </c>
      <c r="N34" s="26">
        <f>SUM(I34-M34)+G34</f>
        <v>3294.1199999999994</v>
      </c>
      <c r="O34" s="33"/>
      <c r="P34" s="34">
        <v>3294.12</v>
      </c>
    </row>
    <row r="35" spans="1:16" x14ac:dyDescent="0.25">
      <c r="A35" s="23" t="s">
        <v>22</v>
      </c>
      <c r="B35" s="18">
        <v>2080.27</v>
      </c>
      <c r="C35" s="44"/>
      <c r="D35" s="50"/>
      <c r="E35" s="50"/>
      <c r="F35" s="50"/>
      <c r="G35" s="50"/>
      <c r="H35" s="51"/>
      <c r="I35" s="15">
        <f t="shared" si="3"/>
        <v>2080.27</v>
      </c>
      <c r="J35" s="5"/>
      <c r="K35" s="5">
        <v>170.72</v>
      </c>
      <c r="L35" s="3">
        <f t="shared" si="7"/>
        <v>109.26999999999998</v>
      </c>
      <c r="M35" s="3">
        <f t="shared" si="1"/>
        <v>279.99</v>
      </c>
      <c r="N35" s="26">
        <f>SUM(I35-M35)+G35</f>
        <v>1800.28</v>
      </c>
      <c r="O35" s="33"/>
      <c r="P35" s="34">
        <v>1800.28</v>
      </c>
    </row>
    <row r="36" spans="1:16" x14ac:dyDescent="0.25">
      <c r="A36" s="23" t="s">
        <v>23</v>
      </c>
      <c r="B36" s="18">
        <f>5021.09+723.04</f>
        <v>5744.13</v>
      </c>
      <c r="C36" s="44">
        <v>1004.22</v>
      </c>
      <c r="D36" s="50"/>
      <c r="E36" s="50"/>
      <c r="F36" s="50"/>
      <c r="G36" s="50"/>
      <c r="H36" s="51"/>
      <c r="I36" s="15">
        <f t="shared" si="3"/>
        <v>6748.35</v>
      </c>
      <c r="J36" s="5">
        <v>779.64</v>
      </c>
      <c r="K36" s="5">
        <v>751.97</v>
      </c>
      <c r="L36" s="3">
        <f t="shared" si="7"/>
        <v>66.059999999999491</v>
      </c>
      <c r="M36" s="3">
        <f t="shared" si="1"/>
        <v>1597.6699999999996</v>
      </c>
      <c r="N36" s="26">
        <f t="shared" si="2"/>
        <v>5150.68</v>
      </c>
      <c r="O36" s="33"/>
      <c r="P36" s="34">
        <v>5150.68</v>
      </c>
    </row>
    <row r="37" spans="1:16" x14ac:dyDescent="0.25">
      <c r="A37" s="23" t="s">
        <v>24</v>
      </c>
      <c r="B37" s="18">
        <f>11980.55+3737.93</f>
        <v>15718.48</v>
      </c>
      <c r="C37" s="44">
        <v>2396.11</v>
      </c>
      <c r="D37" s="50"/>
      <c r="E37" s="50"/>
      <c r="F37" s="50"/>
      <c r="G37" s="50"/>
      <c r="H37" s="51"/>
      <c r="I37" s="15">
        <f t="shared" si="3"/>
        <v>18114.59</v>
      </c>
      <c r="J37" s="5">
        <v>3853.22</v>
      </c>
      <c r="K37" s="5">
        <v>751.97</v>
      </c>
      <c r="L37" s="3">
        <f t="shared" si="7"/>
        <v>538.7400000000016</v>
      </c>
      <c r="M37" s="3">
        <f t="shared" si="1"/>
        <v>5143.9300000000012</v>
      </c>
      <c r="N37" s="26">
        <f>SUM(I37-M37)+G37</f>
        <v>12970.66</v>
      </c>
      <c r="O37" s="33"/>
      <c r="P37" s="34">
        <v>12970.66</v>
      </c>
    </row>
    <row r="38" spans="1:16" x14ac:dyDescent="0.25">
      <c r="A38" s="23" t="s">
        <v>25</v>
      </c>
      <c r="B38" s="18">
        <f>11980.55+3450.4</f>
        <v>15430.949999999999</v>
      </c>
      <c r="C38" s="44">
        <v>2396.11</v>
      </c>
      <c r="D38" s="50"/>
      <c r="E38" s="50"/>
      <c r="F38" s="50"/>
      <c r="G38" s="50"/>
      <c r="H38" s="51"/>
      <c r="I38" s="15">
        <f t="shared" si="3"/>
        <v>17827.059999999998</v>
      </c>
      <c r="J38" s="5">
        <v>3774.15</v>
      </c>
      <c r="K38" s="5">
        <v>751.97</v>
      </c>
      <c r="L38" s="3">
        <f t="shared" si="7"/>
        <v>6.1199999999989814</v>
      </c>
      <c r="M38" s="3">
        <f t="shared" si="1"/>
        <v>4532.2399999999989</v>
      </c>
      <c r="N38" s="26">
        <f t="shared" si="2"/>
        <v>13294.82</v>
      </c>
      <c r="O38" s="33"/>
      <c r="P38" s="34">
        <v>13294.82</v>
      </c>
    </row>
    <row r="39" spans="1:16" x14ac:dyDescent="0.25">
      <c r="A39" s="23" t="s">
        <v>67</v>
      </c>
      <c r="B39" s="18">
        <f>3777.77+498.66</f>
        <v>4276.43</v>
      </c>
      <c r="C39" s="44">
        <v>755.55</v>
      </c>
      <c r="D39" s="50"/>
      <c r="E39" s="50">
        <f>229.95+1149.75+151.77+510.49</f>
        <v>2041.96</v>
      </c>
      <c r="F39" s="50"/>
      <c r="G39" s="50">
        <f>2463.76+325.22+492.75</f>
        <v>3281.7300000000005</v>
      </c>
      <c r="H39" s="51"/>
      <c r="I39" s="15">
        <f t="shared" si="3"/>
        <v>10355.670000000002</v>
      </c>
      <c r="J39" s="5">
        <v>364.51</v>
      </c>
      <c r="K39" s="5">
        <f>584.7+167.27</f>
        <v>751.97</v>
      </c>
      <c r="L39" s="3">
        <f t="shared" si="7"/>
        <v>5353.9300000000021</v>
      </c>
      <c r="M39" s="3">
        <f t="shared" si="1"/>
        <v>6470.4100000000017</v>
      </c>
      <c r="N39" s="26">
        <f t="shared" si="2"/>
        <v>3885.26</v>
      </c>
      <c r="O39" s="33"/>
      <c r="P39" s="34">
        <v>3885.26</v>
      </c>
    </row>
    <row r="40" spans="1:16" x14ac:dyDescent="0.25">
      <c r="A40" s="23" t="s">
        <v>26</v>
      </c>
      <c r="B40" s="18">
        <f>4657.65+391.24</f>
        <v>5048.8899999999994</v>
      </c>
      <c r="C40" s="44">
        <v>931.53</v>
      </c>
      <c r="D40" s="50"/>
      <c r="E40" s="50"/>
      <c r="F40" s="50"/>
      <c r="G40" s="50"/>
      <c r="H40" s="51"/>
      <c r="I40" s="15">
        <f t="shared" si="3"/>
        <v>5980.4199999999992</v>
      </c>
      <c r="J40" s="5">
        <v>481.64</v>
      </c>
      <c r="K40" s="5">
        <v>688.53</v>
      </c>
      <c r="L40" s="3">
        <f t="shared" si="7"/>
        <v>1510.7299999999991</v>
      </c>
      <c r="M40" s="3">
        <f t="shared" si="1"/>
        <v>2680.8999999999992</v>
      </c>
      <c r="N40" s="26">
        <f>SUM(I40-M40)+G40</f>
        <v>3299.52</v>
      </c>
      <c r="O40" s="33"/>
      <c r="P40" s="34">
        <v>3299.52</v>
      </c>
    </row>
    <row r="41" spans="1:16" x14ac:dyDescent="0.25">
      <c r="A41" s="23" t="s">
        <v>64</v>
      </c>
      <c r="B41" s="18">
        <v>1881.14</v>
      </c>
      <c r="C41" s="44"/>
      <c r="D41" s="50"/>
      <c r="E41" s="50"/>
      <c r="F41" s="50"/>
      <c r="G41" s="50"/>
      <c r="H41" s="51"/>
      <c r="I41" s="15">
        <f t="shared" si="3"/>
        <v>1881.14</v>
      </c>
      <c r="J41" s="5"/>
      <c r="K41" s="5">
        <v>152.80000000000001</v>
      </c>
      <c r="L41" s="3">
        <f t="shared" ref="L41" si="13">I41-J41-K41-P41</f>
        <v>15.250000000000227</v>
      </c>
      <c r="M41" s="3">
        <f t="shared" ref="M41" si="14">SUM(J41:L41)</f>
        <v>168.05000000000024</v>
      </c>
      <c r="N41" s="26">
        <f t="shared" ref="N41" si="15">SUM(I41-M41)</f>
        <v>1713.09</v>
      </c>
      <c r="O41" s="33"/>
      <c r="P41" s="34">
        <v>1713.09</v>
      </c>
    </row>
    <row r="42" spans="1:16" x14ac:dyDescent="0.25">
      <c r="A42" s="23" t="s">
        <v>27</v>
      </c>
      <c r="B42" s="18">
        <v>3015.51</v>
      </c>
      <c r="C42" s="44"/>
      <c r="D42" s="50"/>
      <c r="E42" s="50"/>
      <c r="F42" s="50"/>
      <c r="G42" s="50"/>
      <c r="H42" s="51"/>
      <c r="I42" s="15">
        <f t="shared" si="3"/>
        <v>3015.51</v>
      </c>
      <c r="J42" s="5">
        <v>62.42</v>
      </c>
      <c r="K42" s="5">
        <v>279.25</v>
      </c>
      <c r="L42" s="3">
        <f t="shared" si="7"/>
        <v>841.95</v>
      </c>
      <c r="M42" s="3">
        <f t="shared" si="1"/>
        <v>1183.6200000000001</v>
      </c>
      <c r="N42" s="26">
        <f t="shared" si="2"/>
        <v>1831.89</v>
      </c>
      <c r="O42" s="33"/>
      <c r="P42" s="34">
        <v>1831.89</v>
      </c>
    </row>
    <row r="43" spans="1:16" ht="15.75" thickBot="1" x14ac:dyDescent="0.3">
      <c r="A43" s="23" t="s">
        <v>28</v>
      </c>
      <c r="B43" s="19">
        <f>7987.03+2396.11</f>
        <v>10383.14</v>
      </c>
      <c r="C43" s="45">
        <v>1597.41</v>
      </c>
      <c r="D43" s="50"/>
      <c r="E43" s="50">
        <f>798.7+3993.52+1198.05+1996.75</f>
        <v>7987.02</v>
      </c>
      <c r="F43" s="50"/>
      <c r="G43" s="50">
        <f>5990.28+1797.09+1198.06</f>
        <v>8985.43</v>
      </c>
      <c r="H43" s="51"/>
      <c r="I43" s="16">
        <f>SUM(B43:H43)</f>
        <v>28953</v>
      </c>
      <c r="J43" s="5">
        <f>2321.02+1016</f>
        <v>3337.02</v>
      </c>
      <c r="K43" s="5">
        <v>751.97</v>
      </c>
      <c r="L43" s="3">
        <f t="shared" si="7"/>
        <v>15283.599999999999</v>
      </c>
      <c r="M43" s="3">
        <f t="shared" si="1"/>
        <v>19372.589999999997</v>
      </c>
      <c r="N43" s="27">
        <f t="shared" si="2"/>
        <v>9580.4100000000035</v>
      </c>
      <c r="O43" s="33"/>
      <c r="P43" s="34">
        <v>9580.41</v>
      </c>
    </row>
    <row r="44" spans="1:16" x14ac:dyDescent="0.25">
      <c r="A44" s="58" t="s">
        <v>56</v>
      </c>
      <c r="B44" s="60" t="s">
        <v>46</v>
      </c>
      <c r="C44" s="64" t="s">
        <v>73</v>
      </c>
      <c r="D44" s="62" t="s">
        <v>47</v>
      </c>
      <c r="E44" s="62" t="s">
        <v>74</v>
      </c>
      <c r="F44" s="39" t="s">
        <v>75</v>
      </c>
      <c r="G44" s="41" t="s">
        <v>77</v>
      </c>
      <c r="H44" s="10" t="s">
        <v>59</v>
      </c>
      <c r="I44" s="29" t="s">
        <v>48</v>
      </c>
      <c r="J44" s="81" t="s">
        <v>50</v>
      </c>
      <c r="K44" s="81" t="s">
        <v>51</v>
      </c>
      <c r="L44" s="10" t="s">
        <v>52</v>
      </c>
      <c r="M44" s="10" t="s">
        <v>54</v>
      </c>
      <c r="N44" s="31" t="s">
        <v>48</v>
      </c>
      <c r="O44" s="36"/>
      <c r="P44" s="36"/>
    </row>
    <row r="45" spans="1:16" ht="15.75" thickBot="1" x14ac:dyDescent="0.3">
      <c r="A45" s="59"/>
      <c r="B45" s="61"/>
      <c r="C45" s="65"/>
      <c r="D45" s="63"/>
      <c r="E45" s="63"/>
      <c r="F45" s="40" t="s">
        <v>76</v>
      </c>
      <c r="G45" s="42" t="s">
        <v>61</v>
      </c>
      <c r="H45" s="11" t="s">
        <v>60</v>
      </c>
      <c r="I45" s="30" t="s">
        <v>49</v>
      </c>
      <c r="J45" s="82"/>
      <c r="K45" s="82"/>
      <c r="L45" s="11" t="s">
        <v>53</v>
      </c>
      <c r="M45" s="11" t="s">
        <v>53</v>
      </c>
      <c r="N45" s="32" t="s">
        <v>55</v>
      </c>
      <c r="O45" s="36"/>
      <c r="P45" s="36"/>
    </row>
    <row r="46" spans="1:16" x14ac:dyDescent="0.25">
      <c r="A46" s="23" t="s">
        <v>29</v>
      </c>
      <c r="B46" s="21">
        <v>2069.3000000000002</v>
      </c>
      <c r="C46" s="46"/>
      <c r="D46" s="50"/>
      <c r="E46" s="50"/>
      <c r="F46" s="50"/>
      <c r="G46" s="50"/>
      <c r="H46" s="51"/>
      <c r="I46" s="20">
        <f>SUM(B46:H46)</f>
        <v>2069.3000000000002</v>
      </c>
      <c r="J46" s="5"/>
      <c r="K46" s="5">
        <v>169.73</v>
      </c>
      <c r="L46" s="3">
        <f t="shared" ref="L46:L66" si="16">I46-J46-K46-P46</f>
        <v>742.38000000000011</v>
      </c>
      <c r="M46" s="3">
        <f t="shared" si="1"/>
        <v>912.11000000000013</v>
      </c>
      <c r="N46" s="28">
        <f t="shared" si="2"/>
        <v>1157.19</v>
      </c>
      <c r="O46" s="33"/>
      <c r="P46" s="34">
        <v>1157.19</v>
      </c>
    </row>
    <row r="47" spans="1:16" x14ac:dyDescent="0.25">
      <c r="A47" s="23" t="s">
        <v>30</v>
      </c>
      <c r="B47" s="18">
        <f>2095.15+439.98</f>
        <v>2535.13</v>
      </c>
      <c r="C47" s="44"/>
      <c r="D47" s="50"/>
      <c r="E47" s="50">
        <f>1396.76+293.32+563.36</f>
        <v>2253.44</v>
      </c>
      <c r="F47" s="50"/>
      <c r="G47" s="50"/>
      <c r="H47" s="52"/>
      <c r="I47" s="15">
        <f>SUM(B47:H47)</f>
        <v>4788.57</v>
      </c>
      <c r="J47" s="5">
        <f>24.12+78.99</f>
        <v>103.11</v>
      </c>
      <c r="K47" s="5">
        <f>309.57+212.1</f>
        <v>521.66999999999996</v>
      </c>
      <c r="L47" s="3">
        <f t="shared" si="16"/>
        <v>2412.54</v>
      </c>
      <c r="M47" s="3">
        <f t="shared" si="1"/>
        <v>3037.3199999999997</v>
      </c>
      <c r="N47" s="26">
        <f t="shared" si="2"/>
        <v>1751.25</v>
      </c>
      <c r="O47" s="33"/>
      <c r="P47" s="34">
        <v>1751.25</v>
      </c>
    </row>
    <row r="48" spans="1:16" x14ac:dyDescent="0.25">
      <c r="A48" s="23" t="s">
        <v>31</v>
      </c>
      <c r="B48" s="18">
        <f>7858.53+1100.19</f>
        <v>8958.7199999999993</v>
      </c>
      <c r="C48" s="44"/>
      <c r="D48" s="50"/>
      <c r="E48" s="50"/>
      <c r="F48" s="50"/>
      <c r="G48" s="50"/>
      <c r="H48" s="52">
        <v>5159.54</v>
      </c>
      <c r="I48" s="15">
        <f t="shared" ref="I48:I65" si="17">SUM(B48:H48)</f>
        <v>14118.259999999998</v>
      </c>
      <c r="J48" s="5">
        <v>2754.23</v>
      </c>
      <c r="K48" s="5">
        <f>38.89+713.08</f>
        <v>751.97</v>
      </c>
      <c r="L48" s="3">
        <f t="shared" si="16"/>
        <v>675.93999999999869</v>
      </c>
      <c r="M48" s="3">
        <f t="shared" si="1"/>
        <v>4182.1399999999985</v>
      </c>
      <c r="N48" s="26">
        <f t="shared" si="2"/>
        <v>9936.119999999999</v>
      </c>
      <c r="O48" s="33"/>
      <c r="P48" s="34">
        <v>9936.1200000000008</v>
      </c>
    </row>
    <row r="49" spans="1:16" x14ac:dyDescent="0.25">
      <c r="A49" s="23" t="s">
        <v>32</v>
      </c>
      <c r="B49" s="18">
        <f>5288.3+1776.87</f>
        <v>7065.17</v>
      </c>
      <c r="C49" s="44">
        <f>600+2115.32</f>
        <v>2715.32</v>
      </c>
      <c r="D49" s="50"/>
      <c r="E49" s="50"/>
      <c r="F49" s="50"/>
      <c r="G49" s="50"/>
      <c r="H49" s="52"/>
      <c r="I49" s="15">
        <f t="shared" si="17"/>
        <v>9780.49</v>
      </c>
      <c r="J49" s="5">
        <v>1509.21</v>
      </c>
      <c r="K49" s="5">
        <f>38.89+713.08</f>
        <v>751.97</v>
      </c>
      <c r="L49" s="3">
        <f>I49-J49-K49-P49</f>
        <v>879.55999999999858</v>
      </c>
      <c r="M49" s="3">
        <f>SUM(J49:L49)</f>
        <v>3140.7399999999989</v>
      </c>
      <c r="N49" s="26">
        <f t="shared" si="2"/>
        <v>6639.7500000000009</v>
      </c>
      <c r="O49" s="33"/>
      <c r="P49" s="34">
        <v>6639.75</v>
      </c>
    </row>
    <row r="50" spans="1:16" x14ac:dyDescent="0.25">
      <c r="A50" s="23" t="s">
        <v>33</v>
      </c>
      <c r="B50" s="18">
        <f>4927.52+827.82</f>
        <v>5755.34</v>
      </c>
      <c r="C50" s="44">
        <v>985.5</v>
      </c>
      <c r="D50" s="50"/>
      <c r="E50" s="50"/>
      <c r="F50" s="50"/>
      <c r="G50" s="50"/>
      <c r="H50" s="52"/>
      <c r="I50" s="15">
        <f t="shared" si="17"/>
        <v>6740.84</v>
      </c>
      <c r="J50" s="5">
        <v>673.3</v>
      </c>
      <c r="K50" s="5">
        <f>221.95+530.02</f>
        <v>751.97</v>
      </c>
      <c r="L50" s="3">
        <f t="shared" si="16"/>
        <v>435.88000000000011</v>
      </c>
      <c r="M50" s="3">
        <f t="shared" si="1"/>
        <v>1861.15</v>
      </c>
      <c r="N50" s="26">
        <f t="shared" si="2"/>
        <v>4879.6900000000005</v>
      </c>
      <c r="O50" s="33"/>
      <c r="P50" s="34">
        <v>4879.6899999999996</v>
      </c>
    </row>
    <row r="51" spans="1:16" x14ac:dyDescent="0.25">
      <c r="A51" s="23" t="s">
        <v>34</v>
      </c>
      <c r="B51" s="18">
        <f>4512.38+1263.47</f>
        <v>5775.85</v>
      </c>
      <c r="C51" s="44"/>
      <c r="D51" s="50"/>
      <c r="E51" s="44">
        <f>902.48+252.69+385.06</f>
        <v>1540.23</v>
      </c>
      <c r="F51" s="50">
        <f>1804.95+505.39+770.11</f>
        <v>3080.4500000000003</v>
      </c>
      <c r="G51" s="50">
        <f>2707.43+758.08</f>
        <v>3465.5099999999998</v>
      </c>
      <c r="H51" s="52"/>
      <c r="I51" s="15">
        <f t="shared" si="17"/>
        <v>13862.04</v>
      </c>
      <c r="J51" s="5">
        <v>493.65</v>
      </c>
      <c r="K51" s="5">
        <v>751.97</v>
      </c>
      <c r="L51" s="3">
        <f t="shared" si="16"/>
        <v>8859.1400000000012</v>
      </c>
      <c r="M51" s="3">
        <f t="shared" si="1"/>
        <v>10104.760000000002</v>
      </c>
      <c r="N51" s="26">
        <f>SUM(I51-M51)+G51</f>
        <v>7222.7899999999991</v>
      </c>
      <c r="O51" s="33"/>
      <c r="P51" s="34">
        <v>3757.28</v>
      </c>
    </row>
    <row r="52" spans="1:16" x14ac:dyDescent="0.25">
      <c r="A52" s="23" t="s">
        <v>35</v>
      </c>
      <c r="B52" s="18">
        <f>2956.51+390.26</f>
        <v>3346.7700000000004</v>
      </c>
      <c r="C52" s="44">
        <v>591.29999999999995</v>
      </c>
      <c r="D52" s="50"/>
      <c r="E52" s="50">
        <f>394.2+1971.01+260.17+875.13</f>
        <v>3500.51</v>
      </c>
      <c r="F52" s="50"/>
      <c r="G52" s="50">
        <f>2463.76+325.22+492.75</f>
        <v>3281.7300000000005</v>
      </c>
      <c r="H52" s="52"/>
      <c r="I52" s="15">
        <f t="shared" si="17"/>
        <v>10720.310000000001</v>
      </c>
      <c r="J52" s="5">
        <f>145.88+96.64</f>
        <v>242.51999999999998</v>
      </c>
      <c r="K52" s="5">
        <v>751.97</v>
      </c>
      <c r="L52" s="3">
        <f t="shared" si="16"/>
        <v>7845.0300000000016</v>
      </c>
      <c r="M52" s="3">
        <f t="shared" si="1"/>
        <v>8839.5200000000023</v>
      </c>
      <c r="N52" s="26">
        <f>SUM(I52-M52)+G52</f>
        <v>5162.5199999999995</v>
      </c>
      <c r="O52" s="33"/>
      <c r="P52" s="34">
        <v>1880.79</v>
      </c>
    </row>
    <row r="53" spans="1:16" x14ac:dyDescent="0.25">
      <c r="A53" s="23" t="s">
        <v>36</v>
      </c>
      <c r="B53" s="18">
        <f>2889.44+317.84</f>
        <v>3207.28</v>
      </c>
      <c r="C53" s="44"/>
      <c r="D53" s="50"/>
      <c r="E53" s="50">
        <f>879.4+96.73+325.37</f>
        <v>1301.5</v>
      </c>
      <c r="F53" s="50"/>
      <c r="G53" s="50"/>
      <c r="H53" s="52"/>
      <c r="I53" s="15">
        <f t="shared" si="17"/>
        <v>4508.7800000000007</v>
      </c>
      <c r="J53" s="5">
        <v>41.04</v>
      </c>
      <c r="K53" s="5">
        <f>376.92+105.58</f>
        <v>482.5</v>
      </c>
      <c r="L53" s="3">
        <f t="shared" si="16"/>
        <v>1865.9000000000005</v>
      </c>
      <c r="M53" s="3">
        <f t="shared" si="1"/>
        <v>2389.4400000000005</v>
      </c>
      <c r="N53" s="26">
        <f t="shared" si="2"/>
        <v>2119.34</v>
      </c>
      <c r="O53" s="33"/>
      <c r="P53" s="34">
        <v>2119.34</v>
      </c>
    </row>
    <row r="54" spans="1:16" x14ac:dyDescent="0.25">
      <c r="A54" s="23" t="s">
        <v>71</v>
      </c>
      <c r="B54" s="18">
        <f>1895.13+132.66</f>
        <v>2027.7900000000002</v>
      </c>
      <c r="C54" s="44"/>
      <c r="D54" s="50"/>
      <c r="E54" s="50">
        <f>379.03+26.53+135.19</f>
        <v>540.75</v>
      </c>
      <c r="F54" s="50"/>
      <c r="G54" s="50"/>
      <c r="H54" s="52"/>
      <c r="I54" s="15">
        <f t="shared" si="17"/>
        <v>2568.54</v>
      </c>
      <c r="J54" s="5"/>
      <c r="K54" s="5">
        <f>185.06+40.55</f>
        <v>225.61</v>
      </c>
      <c r="L54" s="3">
        <f t="shared" si="16"/>
        <v>506.31999999999994</v>
      </c>
      <c r="M54" s="3">
        <f t="shared" si="1"/>
        <v>731.93</v>
      </c>
      <c r="N54" s="26">
        <f t="shared" si="2"/>
        <v>1836.6100000000001</v>
      </c>
      <c r="O54" s="33"/>
      <c r="P54" s="34">
        <v>1836.61</v>
      </c>
    </row>
    <row r="55" spans="1:16" x14ac:dyDescent="0.25">
      <c r="A55" s="23" t="s">
        <v>37</v>
      </c>
      <c r="B55" s="18">
        <f>12454.51+9465.43</f>
        <v>21919.940000000002</v>
      </c>
      <c r="C55" s="44">
        <v>12454.51</v>
      </c>
      <c r="D55" s="50"/>
      <c r="E55" s="50"/>
      <c r="F55" s="50"/>
      <c r="G55" s="50"/>
      <c r="H55" s="52"/>
      <c r="I55" s="15">
        <f t="shared" si="17"/>
        <v>34374.450000000004</v>
      </c>
      <c r="J55" s="5">
        <v>8376.82</v>
      </c>
      <c r="K55" s="5">
        <v>751.97</v>
      </c>
      <c r="L55" s="3">
        <f t="shared" si="16"/>
        <v>303.2300000000032</v>
      </c>
      <c r="M55" s="3">
        <f t="shared" si="1"/>
        <v>9432.0200000000023</v>
      </c>
      <c r="N55" s="26">
        <f t="shared" si="2"/>
        <v>24942.43</v>
      </c>
      <c r="O55" s="33"/>
      <c r="P55" s="34">
        <v>24942.43</v>
      </c>
    </row>
    <row r="56" spans="1:16" x14ac:dyDescent="0.25">
      <c r="A56" s="23" t="s">
        <v>38</v>
      </c>
      <c r="B56" s="18">
        <f>4927.52+709.56</f>
        <v>5637.08</v>
      </c>
      <c r="C56" s="44">
        <v>985.5</v>
      </c>
      <c r="D56" s="50"/>
      <c r="E56" s="50"/>
      <c r="F56" s="50"/>
      <c r="G56" s="50"/>
      <c r="H56" s="52"/>
      <c r="I56" s="15">
        <f t="shared" si="17"/>
        <v>6622.58</v>
      </c>
      <c r="J56" s="5">
        <v>692.92</v>
      </c>
      <c r="K56" s="5">
        <v>751.97</v>
      </c>
      <c r="L56" s="3">
        <f t="shared" si="16"/>
        <v>220.86999999999989</v>
      </c>
      <c r="M56" s="3">
        <f t="shared" si="1"/>
        <v>1665.7599999999998</v>
      </c>
      <c r="N56" s="26">
        <f t="shared" si="2"/>
        <v>4956.82</v>
      </c>
      <c r="O56" s="33"/>
      <c r="P56" s="34">
        <v>4956.82</v>
      </c>
    </row>
    <row r="57" spans="1:16" x14ac:dyDescent="0.25">
      <c r="A57" s="23" t="s">
        <v>39</v>
      </c>
      <c r="B57" s="18">
        <v>5515.73</v>
      </c>
      <c r="C57" s="44"/>
      <c r="D57" s="50"/>
      <c r="E57" s="50"/>
      <c r="F57" s="50"/>
      <c r="G57" s="50"/>
      <c r="H57" s="52"/>
      <c r="I57" s="15">
        <f t="shared" si="17"/>
        <v>5515.73</v>
      </c>
      <c r="J57" s="5">
        <v>423.87</v>
      </c>
      <c r="K57" s="5">
        <v>623.48</v>
      </c>
      <c r="L57" s="3">
        <f t="shared" si="16"/>
        <v>775.33999999999924</v>
      </c>
      <c r="M57" s="3">
        <f t="shared" si="1"/>
        <v>1822.6899999999991</v>
      </c>
      <c r="N57" s="26">
        <f t="shared" si="2"/>
        <v>3693.0400000000004</v>
      </c>
      <c r="O57" s="33"/>
      <c r="P57" s="34">
        <v>3693.04</v>
      </c>
    </row>
    <row r="58" spans="1:16" x14ac:dyDescent="0.25">
      <c r="A58" s="23" t="s">
        <v>63</v>
      </c>
      <c r="B58" s="18">
        <v>1881.14</v>
      </c>
      <c r="C58" s="44"/>
      <c r="D58" s="50"/>
      <c r="E58" s="50"/>
      <c r="F58" s="50"/>
      <c r="G58" s="50"/>
      <c r="H58" s="52"/>
      <c r="I58" s="15">
        <f t="shared" si="17"/>
        <v>1881.14</v>
      </c>
      <c r="J58" s="5"/>
      <c r="K58" s="5">
        <v>152.80000000000001</v>
      </c>
      <c r="L58" s="3">
        <f t="shared" ref="L58" si="18">I58-J58-K58-P58</f>
        <v>6.1200000000001182</v>
      </c>
      <c r="M58" s="3">
        <f t="shared" ref="M58" si="19">SUM(J58:L58)</f>
        <v>158.92000000000013</v>
      </c>
      <c r="N58" s="26">
        <f t="shared" ref="N58" si="20">SUM(I58-M58)</f>
        <v>1722.22</v>
      </c>
      <c r="O58" s="33"/>
      <c r="P58" s="34">
        <v>1722.22</v>
      </c>
    </row>
    <row r="59" spans="1:16" x14ac:dyDescent="0.25">
      <c r="A59" s="23" t="s">
        <v>40</v>
      </c>
      <c r="B59" s="18">
        <f>7987.03+2683.64</f>
        <v>10670.67</v>
      </c>
      <c r="C59" s="44">
        <v>1597.41</v>
      </c>
      <c r="D59" s="50"/>
      <c r="E59" s="50">
        <f>798.7+3993.52+1341.82+2044.68</f>
        <v>8178.72</v>
      </c>
      <c r="F59" s="50"/>
      <c r="G59" s="50">
        <f>5990.28+2012.74+1198.06</f>
        <v>9201.08</v>
      </c>
      <c r="H59" s="52"/>
      <c r="I59" s="15">
        <f t="shared" si="17"/>
        <v>29647.879999999997</v>
      </c>
      <c r="J59" s="5">
        <f>2504.36+1173</f>
        <v>3677.36</v>
      </c>
      <c r="K59" s="5">
        <v>751.97</v>
      </c>
      <c r="L59" s="3">
        <f t="shared" si="16"/>
        <v>15460.949999999995</v>
      </c>
      <c r="M59" s="3">
        <f t="shared" si="1"/>
        <v>19890.279999999995</v>
      </c>
      <c r="N59" s="26">
        <f>SUM(I59-M59)+G59</f>
        <v>18958.68</v>
      </c>
      <c r="O59" s="33"/>
      <c r="P59" s="34">
        <v>9757.6</v>
      </c>
    </row>
    <row r="60" spans="1:16" x14ac:dyDescent="0.25">
      <c r="A60" s="23" t="s">
        <v>41</v>
      </c>
      <c r="B60" s="18">
        <v>2160.0700000000002</v>
      </c>
      <c r="C60" s="44"/>
      <c r="D60" s="50"/>
      <c r="E60" s="50"/>
      <c r="F60" s="50"/>
      <c r="G60" s="50"/>
      <c r="H60" s="52"/>
      <c r="I60" s="15">
        <f t="shared" si="17"/>
        <v>2160.0700000000002</v>
      </c>
      <c r="J60" s="5"/>
      <c r="K60" s="5">
        <v>177.9</v>
      </c>
      <c r="L60" s="3">
        <f t="shared" si="16"/>
        <v>35.550000000000182</v>
      </c>
      <c r="M60" s="3">
        <f t="shared" si="1"/>
        <v>213.45000000000019</v>
      </c>
      <c r="N60" s="26">
        <f t="shared" si="2"/>
        <v>1946.62</v>
      </c>
      <c r="O60" s="33"/>
      <c r="P60" s="34">
        <v>1946.62</v>
      </c>
    </row>
    <row r="61" spans="1:16" x14ac:dyDescent="0.25">
      <c r="A61" s="23" t="s">
        <v>42</v>
      </c>
      <c r="B61" s="18">
        <f>10377.23+3984.86</f>
        <v>14362.09</v>
      </c>
      <c r="C61" s="44">
        <v>2075.4499999999998</v>
      </c>
      <c r="D61" s="50"/>
      <c r="E61" s="50"/>
      <c r="F61" s="50"/>
      <c r="G61" s="50"/>
      <c r="H61" s="52"/>
      <c r="I61" s="15">
        <f t="shared" si="17"/>
        <v>16437.54</v>
      </c>
      <c r="J61" s="5">
        <v>3392.03</v>
      </c>
      <c r="K61" s="5">
        <v>751.97</v>
      </c>
      <c r="L61" s="3">
        <f t="shared" si="16"/>
        <v>1442.8000000000011</v>
      </c>
      <c r="M61" s="3">
        <f t="shared" si="1"/>
        <v>5586.8000000000011</v>
      </c>
      <c r="N61" s="26">
        <f>SUM(I61-M61)+G61</f>
        <v>10850.74</v>
      </c>
      <c r="O61" s="33"/>
      <c r="P61" s="34">
        <v>10850.74</v>
      </c>
    </row>
    <row r="62" spans="1:16" x14ac:dyDescent="0.25">
      <c r="A62" s="23" t="s">
        <v>43</v>
      </c>
      <c r="B62" s="18">
        <v>5032.41</v>
      </c>
      <c r="C62" s="44"/>
      <c r="D62" s="50"/>
      <c r="E62" s="50"/>
      <c r="F62" s="50"/>
      <c r="G62" s="50"/>
      <c r="H62" s="52"/>
      <c r="I62" s="15">
        <f t="shared" si="17"/>
        <v>5032.41</v>
      </c>
      <c r="J62" s="5">
        <v>328.45</v>
      </c>
      <c r="K62" s="5">
        <v>555.80999999999995</v>
      </c>
      <c r="L62" s="3">
        <f t="shared" si="16"/>
        <v>1928.7799999999997</v>
      </c>
      <c r="M62" s="3">
        <f t="shared" si="1"/>
        <v>2813.04</v>
      </c>
      <c r="N62" s="26">
        <f t="shared" si="2"/>
        <v>2219.37</v>
      </c>
      <c r="O62" s="33"/>
      <c r="P62" s="34">
        <v>2219.37</v>
      </c>
    </row>
    <row r="63" spans="1:16" x14ac:dyDescent="0.25">
      <c r="A63" s="23" t="s">
        <v>44</v>
      </c>
      <c r="B63" s="18">
        <v>2025.79</v>
      </c>
      <c r="C63" s="44"/>
      <c r="D63" s="50"/>
      <c r="E63" s="50"/>
      <c r="F63" s="50"/>
      <c r="G63" s="50"/>
      <c r="H63" s="52"/>
      <c r="I63" s="15">
        <f t="shared" si="17"/>
        <v>2025.79</v>
      </c>
      <c r="J63" s="5"/>
      <c r="K63" s="5">
        <v>165.82</v>
      </c>
      <c r="L63" s="3">
        <f t="shared" si="16"/>
        <v>82.970000000000027</v>
      </c>
      <c r="M63" s="3">
        <f t="shared" si="1"/>
        <v>248.79000000000002</v>
      </c>
      <c r="N63" s="26">
        <f t="shared" si="2"/>
        <v>1777</v>
      </c>
      <c r="O63" s="33"/>
      <c r="P63" s="34">
        <v>1777</v>
      </c>
    </row>
    <row r="64" spans="1:16" x14ac:dyDescent="0.25">
      <c r="A64" s="23" t="s">
        <v>72</v>
      </c>
      <c r="B64" s="18">
        <f>2529.15+25.59</f>
        <v>2554.7400000000002</v>
      </c>
      <c r="C64" s="44"/>
      <c r="D64" s="50"/>
      <c r="E64" s="50">
        <f>1464.24+14.64+492.96</f>
        <v>1971.8400000000001</v>
      </c>
      <c r="F64" s="50"/>
      <c r="G64" s="50"/>
      <c r="H64" s="52"/>
      <c r="I64" s="15">
        <f t="shared" si="17"/>
        <v>4526.58</v>
      </c>
      <c r="J64" s="5">
        <v>24.48</v>
      </c>
      <c r="K64" s="5">
        <f>323.99+160.96</f>
        <v>484.95000000000005</v>
      </c>
      <c r="L64" s="3">
        <f t="shared" ref="L64" si="21">I64-J64-K64-P64</f>
        <v>2868.7300000000005</v>
      </c>
      <c r="M64" s="3">
        <f t="shared" ref="M64" si="22">SUM(J64:L64)</f>
        <v>3378.1600000000008</v>
      </c>
      <c r="N64" s="26">
        <f t="shared" ref="N64" si="23">SUM(I64-M64)</f>
        <v>1148.4199999999992</v>
      </c>
      <c r="O64" s="33"/>
      <c r="P64" s="34">
        <v>1148.42</v>
      </c>
    </row>
    <row r="65" spans="1:16" x14ac:dyDescent="0.25">
      <c r="A65" s="23" t="s">
        <v>70</v>
      </c>
      <c r="B65" s="18">
        <f>1755.42+17.55</f>
        <v>1772.97</v>
      </c>
      <c r="C65" s="44"/>
      <c r="D65" s="50"/>
      <c r="E65" s="50"/>
      <c r="F65" s="50"/>
      <c r="G65" s="50"/>
      <c r="H65" s="52"/>
      <c r="I65" s="15">
        <f t="shared" si="17"/>
        <v>1772.97</v>
      </c>
      <c r="J65" s="5"/>
      <c r="K65" s="5">
        <v>143.06</v>
      </c>
      <c r="L65" s="3">
        <f t="shared" ref="L65" si="24">I65-J65-K65-P65</f>
        <v>131.41000000000008</v>
      </c>
      <c r="M65" s="3">
        <f t="shared" ref="M65" si="25">SUM(J65:L65)</f>
        <v>274.47000000000008</v>
      </c>
      <c r="N65" s="26">
        <f t="shared" ref="N65" si="26">SUM(I65-M65)</f>
        <v>1498.5</v>
      </c>
      <c r="O65" s="33"/>
      <c r="P65" s="34">
        <v>1498.5</v>
      </c>
    </row>
    <row r="66" spans="1:16" ht="15.75" thickBot="1" x14ac:dyDescent="0.3">
      <c r="A66" s="24" t="s">
        <v>45</v>
      </c>
      <c r="B66" s="19">
        <f>4809.43+692.56</f>
        <v>5501.99</v>
      </c>
      <c r="C66" s="47">
        <v>961.88</v>
      </c>
      <c r="D66" s="53"/>
      <c r="E66" s="53">
        <f>641.26+3206.28+461.71+1436.42</f>
        <v>5745.67</v>
      </c>
      <c r="F66" s="53"/>
      <c r="G66" s="53"/>
      <c r="H66" s="54">
        <v>5159.53</v>
      </c>
      <c r="I66" s="16">
        <f>SUM(B66:H66)</f>
        <v>17369.07</v>
      </c>
      <c r="J66" s="12">
        <f>2248.46+478.25</f>
        <v>2726.71</v>
      </c>
      <c r="K66" s="12">
        <f>96.3+655.67</f>
        <v>751.96999999999991</v>
      </c>
      <c r="L66" s="13">
        <f t="shared" si="16"/>
        <v>4680.6700000000019</v>
      </c>
      <c r="M66" s="13">
        <f t="shared" si="1"/>
        <v>8159.3500000000022</v>
      </c>
      <c r="N66" s="27">
        <f t="shared" si="2"/>
        <v>9209.7199999999975</v>
      </c>
      <c r="O66" s="33"/>
      <c r="P66" s="34">
        <v>9209.7199999999993</v>
      </c>
    </row>
    <row r="67" spans="1:16" ht="15.75" thickBot="1" x14ac:dyDescent="0.3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6" x14ac:dyDescent="0.25">
      <c r="A68" s="78" t="s">
        <v>84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80"/>
    </row>
    <row r="69" spans="1:16" x14ac:dyDescent="0.25">
      <c r="A69" s="66" t="s">
        <v>82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8"/>
    </row>
    <row r="70" spans="1:16" ht="5.25" customHeight="1" x14ac:dyDescent="0.25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1"/>
    </row>
    <row r="71" spans="1:16" x14ac:dyDescent="0.25">
      <c r="A71" s="72" t="s">
        <v>83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4"/>
    </row>
    <row r="72" spans="1:16" x14ac:dyDescent="0.25">
      <c r="A72" s="75" t="s">
        <v>78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7"/>
    </row>
    <row r="73" spans="1:16" x14ac:dyDescent="0.25">
      <c r="A73" s="75" t="s">
        <v>79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7"/>
    </row>
    <row r="74" spans="1:16" x14ac:dyDescent="0.25">
      <c r="A74" s="75" t="s">
        <v>80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7"/>
    </row>
    <row r="75" spans="1:16" ht="15.75" thickBot="1" x14ac:dyDescent="0.3">
      <c r="A75" s="84" t="s">
        <v>81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6"/>
    </row>
    <row r="76" spans="1:1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6" x14ac:dyDescent="0.25">
      <c r="A77" s="8"/>
      <c r="B77" s="7"/>
      <c r="C77" s="38"/>
      <c r="D77" s="7"/>
      <c r="E77" s="38"/>
      <c r="F77" s="38"/>
      <c r="G77" s="7"/>
      <c r="H77" s="7"/>
      <c r="I77" s="7"/>
      <c r="J77" s="7"/>
      <c r="K77" s="7"/>
      <c r="L77" s="7"/>
      <c r="M77" s="7"/>
      <c r="N77" s="7"/>
    </row>
    <row r="78" spans="1:1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</sheetData>
  <mergeCells count="26">
    <mergeCell ref="A75:N75"/>
    <mergeCell ref="A68:N68"/>
    <mergeCell ref="A44:A45"/>
    <mergeCell ref="B44:B45"/>
    <mergeCell ref="J44:J45"/>
    <mergeCell ref="K44:K45"/>
    <mergeCell ref="D44:D45"/>
    <mergeCell ref="A67:N67"/>
    <mergeCell ref="C44:C45"/>
    <mergeCell ref="E44:E45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2020-12-22T19:42:59Z</cp:lastPrinted>
  <dcterms:created xsi:type="dcterms:W3CDTF">2016-04-28T12:49:34Z</dcterms:created>
  <dcterms:modified xsi:type="dcterms:W3CDTF">2022-01-27T12:33:13Z</dcterms:modified>
</cp:coreProperties>
</file>