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2 - FOLHA DE PAGAMENTO 2022\FOLHAS DE PAGAMENTO\PORTAL DA TRANSPARÊNCIA\01 - JANEIRO\"/>
    </mc:Choice>
  </mc:AlternateContent>
  <xr:revisionPtr revIDLastSave="0" documentId="13_ncr:1_{1F6B39CA-3260-4A6A-A5D9-5A29C88CD40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es" sheetId="6" r:id="rId1"/>
  </sheets>
  <definedNames>
    <definedName name="_xlnm.Print_Area" localSheetId="0">mes!$A$1:$P$69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0" i="6" l="1"/>
  <c r="L60" i="6"/>
  <c r="F60" i="6"/>
  <c r="C60" i="6"/>
  <c r="C57" i="6"/>
  <c r="L53" i="6"/>
  <c r="F53" i="6"/>
  <c r="C53" i="6"/>
  <c r="C50" i="6"/>
  <c r="M49" i="6"/>
  <c r="F49" i="6"/>
  <c r="C49" i="6"/>
  <c r="C47" i="6"/>
  <c r="C45" i="6"/>
  <c r="M43" i="6"/>
  <c r="L43" i="6"/>
  <c r="F43" i="6"/>
  <c r="C43" i="6"/>
  <c r="L40" i="6"/>
  <c r="F40" i="6"/>
  <c r="C40" i="6"/>
  <c r="M39" i="6"/>
  <c r="F39" i="6"/>
  <c r="C39" i="6"/>
  <c r="C37" i="6"/>
  <c r="C36" i="6"/>
  <c r="L35" i="6"/>
  <c r="G35" i="6"/>
  <c r="F35" i="6"/>
  <c r="C35" i="6"/>
  <c r="M32" i="6"/>
  <c r="L32" i="6"/>
  <c r="F32" i="6"/>
  <c r="C32" i="6"/>
  <c r="M31" i="6"/>
  <c r="L31" i="6"/>
  <c r="G31" i="6"/>
  <c r="F31" i="6"/>
  <c r="C31" i="6"/>
  <c r="C30" i="6"/>
  <c r="M28" i="6"/>
  <c r="L28" i="6"/>
  <c r="F28" i="6"/>
  <c r="C28" i="6"/>
  <c r="M27" i="6"/>
  <c r="F27" i="6"/>
  <c r="C27" i="6"/>
  <c r="M25" i="6"/>
  <c r="F25" i="6"/>
  <c r="C25" i="6"/>
  <c r="G24" i="6"/>
  <c r="C24" i="6"/>
  <c r="M23" i="6"/>
  <c r="L23" i="6"/>
  <c r="F23" i="6"/>
  <c r="C23" i="6"/>
  <c r="C21" i="6"/>
  <c r="F20" i="6"/>
  <c r="C20" i="6"/>
  <c r="M19" i="6"/>
  <c r="L19" i="6"/>
  <c r="F19" i="6"/>
  <c r="C19" i="6"/>
  <c r="M18" i="6"/>
  <c r="F18" i="6"/>
  <c r="C18" i="6"/>
  <c r="C9" i="6"/>
  <c r="M7" i="6"/>
  <c r="L7" i="6"/>
  <c r="F7" i="6"/>
  <c r="C7" i="6"/>
  <c r="D14" i="6"/>
  <c r="C56" i="6" l="1"/>
  <c r="K60" i="6" l="1"/>
  <c r="K43" i="6"/>
  <c r="C34" i="6"/>
  <c r="C22" i="6"/>
  <c r="C15" i="6"/>
  <c r="C14" i="6"/>
  <c r="K55" i="6"/>
  <c r="N55" i="6" s="1"/>
  <c r="O55" i="6" s="1"/>
  <c r="P55" i="6" s="1"/>
  <c r="K13" i="6"/>
  <c r="K10" i="6"/>
  <c r="N10" i="6" s="1"/>
  <c r="O10" i="6" s="1"/>
  <c r="P10" i="6" s="1"/>
  <c r="N13" i="6" l="1"/>
  <c r="O13" i="6" s="1"/>
  <c r="P13" i="6" s="1"/>
  <c r="K24" i="6"/>
  <c r="N24" i="6" s="1"/>
  <c r="O24" i="6" s="1"/>
  <c r="P24" i="6" s="1"/>
  <c r="K53" i="6" l="1"/>
  <c r="K45" i="6"/>
  <c r="K44" i="6"/>
  <c r="K42" i="6"/>
  <c r="K35" i="6"/>
  <c r="K46" i="6"/>
  <c r="K48" i="6"/>
  <c r="K49" i="6"/>
  <c r="K50" i="6"/>
  <c r="K51" i="6"/>
  <c r="K52" i="6"/>
  <c r="K54" i="6"/>
  <c r="K56" i="6"/>
  <c r="K57" i="6"/>
  <c r="K58" i="6"/>
  <c r="K59" i="6"/>
  <c r="K41" i="6"/>
  <c r="K40" i="6"/>
  <c r="K31" i="6"/>
  <c r="K32" i="6"/>
  <c r="K33" i="6"/>
  <c r="K34" i="6"/>
  <c r="K36" i="6"/>
  <c r="K37" i="6"/>
  <c r="K38" i="6"/>
  <c r="K39" i="6"/>
  <c r="K8" i="6"/>
  <c r="K9" i="6"/>
  <c r="K11" i="6"/>
  <c r="K12" i="6"/>
  <c r="K15" i="6"/>
  <c r="K16" i="6"/>
  <c r="K17" i="6"/>
  <c r="K18" i="6"/>
  <c r="K19" i="6"/>
  <c r="K20" i="6"/>
  <c r="K21" i="6"/>
  <c r="K22" i="6"/>
  <c r="K23" i="6"/>
  <c r="K25" i="6"/>
  <c r="K26" i="6"/>
  <c r="K27" i="6"/>
  <c r="K28" i="6"/>
  <c r="K29" i="6"/>
  <c r="K30" i="6"/>
  <c r="K7" i="6"/>
  <c r="K47" i="6" l="1"/>
  <c r="K14" i="6"/>
  <c r="N58" i="6" l="1"/>
  <c r="O58" i="6" s="1"/>
  <c r="P58" i="6" s="1"/>
  <c r="N59" i="6" l="1"/>
  <c r="O59" i="6" s="1"/>
  <c r="P59" i="6" s="1"/>
  <c r="N18" i="6" l="1"/>
  <c r="O18" i="6" s="1"/>
  <c r="P18" i="6" s="1"/>
  <c r="N32" i="6" l="1"/>
  <c r="O32" i="6" s="1"/>
  <c r="P32" i="6" s="1"/>
  <c r="N9" i="6" l="1"/>
  <c r="O9" i="6" s="1"/>
  <c r="P9" i="6" s="1"/>
  <c r="N38" i="6" l="1"/>
  <c r="O38" i="6" s="1"/>
  <c r="P38" i="6" s="1"/>
  <c r="N52" i="6" l="1"/>
  <c r="O52" i="6" s="1"/>
  <c r="P52" i="6" s="1"/>
  <c r="N25" i="6"/>
  <c r="O25" i="6" s="1"/>
  <c r="P25" i="6" s="1"/>
  <c r="N15" i="6" l="1"/>
  <c r="O15" i="6" s="1"/>
  <c r="P15" i="6" s="1"/>
  <c r="N12" i="6" l="1"/>
  <c r="O12" i="6" s="1"/>
  <c r="P12" i="6" s="1"/>
  <c r="N60" i="6"/>
  <c r="O60" i="6" s="1"/>
  <c r="P60" i="6" s="1"/>
  <c r="N54" i="6"/>
  <c r="O54" i="6" s="1"/>
  <c r="N51" i="6"/>
  <c r="O51" i="6" s="1"/>
  <c r="P51" i="6" s="1"/>
  <c r="N50" i="6"/>
  <c r="O50" i="6" s="1"/>
  <c r="P50" i="6" s="1"/>
  <c r="N49" i="6"/>
  <c r="O49" i="6" s="1"/>
  <c r="N48" i="6"/>
  <c r="O48" i="6" s="1"/>
  <c r="N45" i="6"/>
  <c r="O45" i="6" s="1"/>
  <c r="N44" i="6"/>
  <c r="O44" i="6" s="1"/>
  <c r="N43" i="6"/>
  <c r="O43" i="6" s="1"/>
  <c r="P43" i="6" s="1"/>
  <c r="N40" i="6"/>
  <c r="O40" i="6" s="1"/>
  <c r="P40" i="6" s="1"/>
  <c r="N36" i="6"/>
  <c r="O36" i="6" s="1"/>
  <c r="P36" i="6" s="1"/>
  <c r="N35" i="6"/>
  <c r="O35" i="6" s="1"/>
  <c r="P35" i="6" s="1"/>
  <c r="N34" i="6"/>
  <c r="O34" i="6" s="1"/>
  <c r="P34" i="6" s="1"/>
  <c r="N31" i="6"/>
  <c r="O31" i="6" s="1"/>
  <c r="P31" i="6" s="1"/>
  <c r="N30" i="6"/>
  <c r="O30" i="6" s="1"/>
  <c r="P30" i="6" s="1"/>
  <c r="N29" i="6"/>
  <c r="O29" i="6" s="1"/>
  <c r="P29" i="6" s="1"/>
  <c r="N28" i="6"/>
  <c r="O28" i="6" s="1"/>
  <c r="P28" i="6" s="1"/>
  <c r="N26" i="6"/>
  <c r="O26" i="6" s="1"/>
  <c r="P26" i="6" s="1"/>
  <c r="N23" i="6"/>
  <c r="O23" i="6" s="1"/>
  <c r="P23" i="6" s="1"/>
  <c r="N22" i="6"/>
  <c r="O22" i="6" s="1"/>
  <c r="P22" i="6" s="1"/>
  <c r="N21" i="6"/>
  <c r="O21" i="6" s="1"/>
  <c r="P21" i="6" s="1"/>
  <c r="N19" i="6"/>
  <c r="O19" i="6" s="1"/>
  <c r="P19" i="6" s="1"/>
  <c r="N7" i="6"/>
  <c r="O7" i="6" s="1"/>
  <c r="P7" i="6" s="1"/>
  <c r="N42" i="6" l="1"/>
  <c r="O42" i="6" s="1"/>
  <c r="P42" i="6" s="1"/>
  <c r="N8" i="6"/>
  <c r="N57" i="6"/>
  <c r="O57" i="6" s="1"/>
  <c r="P57" i="6" s="1"/>
  <c r="N16" i="6"/>
  <c r="O16" i="6" s="1"/>
  <c r="P16" i="6" s="1"/>
  <c r="N53" i="6"/>
  <c r="O53" i="6" s="1"/>
  <c r="P53" i="6" s="1"/>
  <c r="N46" i="6"/>
  <c r="O46" i="6" s="1"/>
  <c r="P46" i="6" s="1"/>
  <c r="N47" i="6"/>
  <c r="O47" i="6" s="1"/>
  <c r="P47" i="6" s="1"/>
  <c r="N56" i="6"/>
  <c r="O56" i="6" s="1"/>
  <c r="P56" i="6" s="1"/>
  <c r="N11" i="6"/>
  <c r="O11" i="6" s="1"/>
  <c r="P11" i="6" s="1"/>
  <c r="N33" i="6"/>
  <c r="O33" i="6" s="1"/>
  <c r="P33" i="6" s="1"/>
  <c r="N27" i="6"/>
  <c r="O27" i="6" s="1"/>
  <c r="P27" i="6" s="1"/>
  <c r="N37" i="6"/>
  <c r="O37" i="6" s="1"/>
  <c r="P37" i="6" s="1"/>
  <c r="N41" i="6"/>
  <c r="O41" i="6" s="1"/>
  <c r="P41" i="6" s="1"/>
  <c r="N20" i="6"/>
  <c r="O20" i="6" s="1"/>
  <c r="P20" i="6" s="1"/>
  <c r="N17" i="6"/>
  <c r="O17" i="6" s="1"/>
  <c r="P17" i="6" s="1"/>
  <c r="N14" i="6"/>
  <c r="O14" i="6" s="1"/>
  <c r="P14" i="6" s="1"/>
  <c r="P45" i="6"/>
  <c r="P44" i="6"/>
  <c r="P48" i="6"/>
  <c r="N39" i="6"/>
  <c r="O39" i="6" s="1"/>
  <c r="P39" i="6" s="1"/>
  <c r="P49" i="6"/>
  <c r="P54" i="6"/>
  <c r="O8" i="6" l="1"/>
  <c r="P8" i="6" l="1"/>
</calcChain>
</file>

<file path=xl/sharedStrings.xml><?xml version="1.0" encoding="utf-8"?>
<sst xmlns="http://schemas.openxmlformats.org/spreadsheetml/2006/main" count="87" uniqueCount="85">
  <si>
    <t>ADRIANA IAIZZO MAGALHAES</t>
  </si>
  <si>
    <t>ALBERTO AUGUSTO SPITZ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</si>
  <si>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</si>
  <si>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</si>
  <si>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</si>
  <si>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</si>
  <si>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</si>
  <si>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</si>
  <si>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</si>
  <si>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</si>
  <si>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</si>
  <si>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</si>
  <si>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</si>
  <si>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</si>
  <si>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</si>
  <si>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JENIFER CORREA CECHETTI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</si>
  <si>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</si>
  <si>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</si>
  <si>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</si>
  <si>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</si>
  <si>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</si>
  <si>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</si>
  <si>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</si>
  <si>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</si>
  <si>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</si>
  <si>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</si>
  <si>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</si>
  <si>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</si>
  <si>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</si>
  <si>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</si>
  <si>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</si>
  <si>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</si>
  <si>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</si>
  <si>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</si>
  <si>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</si>
  <si>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</si>
  <si>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</si>
  <si>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</si>
  <si>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</si>
  <si>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</si>
  <si>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</si>
  <si>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</si>
  <si>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</si>
  <si>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</si>
  <si>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</si>
  <si>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</si>
  <si>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</si>
  <si>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</si>
  <si>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</si>
  <si>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</si>
  <si>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</si>
  <si>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</si>
  <si>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</si>
  <si>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</si>
  <si>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</si>
  <si>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HELENA YURIKO HASEGAWA TORQUATO</t>
  </si>
  <si>
    <t>RONALD AURELIO KOCHOLIK</t>
  </si>
  <si>
    <t>MARCIA PORDEUS TORRES</t>
  </si>
  <si>
    <t>ALISSON BOBATO DALSANTO</t>
  </si>
  <si>
    <t>KARIN OLIVEIRA SILVA</t>
  </si>
  <si>
    <t>MAIRÊ APARECIDA DAHLEM</t>
  </si>
  <si>
    <t>ERYKA RENATA FERREIRA DE MELLO SENFF MAIA</t>
  </si>
  <si>
    <t>VINICIUS DECONTO GUIMARÃES</t>
  </si>
  <si>
    <t xml:space="preserve">OSMAR RODRIGUES DE MELLO   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</si>
  <si>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</si>
  <si>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</si>
  <si>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</si>
  <si>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</si>
  <si>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</si>
  <si>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</si>
  <si>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</si>
  <si>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</si>
  <si>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</si>
  <si>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</si>
  <si>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GUSTAVO ELIAS MUENZ</t>
  </si>
  <si>
    <t>Indenização</t>
  </si>
  <si>
    <t>PDV</t>
  </si>
  <si>
    <t>CARLOS ALBERTO JUNGLES DE CAMARGO</t>
  </si>
  <si>
    <t>SARA EMMANUELLE MARTINS SCARPETTA</t>
  </si>
  <si>
    <t>ANA PAULA ANBIEL GAIGNER</t>
  </si>
  <si>
    <t>A concessão do vale alimentação e/ou vale refeição aos funcionários do CRCPR é realizada por meio de cartão magnético. O benefício é disponibilizado mensalmente no valor de R$ 49,72 (quarenta e nove reais e setenta e dois centavos)</t>
  </si>
  <si>
    <t>recebidos por 22 dias mensais, descontando do funcionário o percentual de 0,50% (meio por cento) sobre o valor total dos vales fornecidos no período.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</si>
  <si>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consignação, plano de saúde, alimentação/refeição, vale transporte, pensão alimentícia, entre outros.</t>
    </r>
  </si>
  <si>
    <t>JANEIRO/2022</t>
  </si>
  <si>
    <r>
      <t xml:space="preserve">IRAN LUIZ CORDEIRO        </t>
    </r>
    <r>
      <rPr>
        <b/>
        <sz val="11"/>
        <color theme="4" tint="-0.249977111117893"/>
        <rFont val="Calibri"/>
        <family val="2"/>
        <scheme val="minor"/>
      </rPr>
      <t>(CONTRATO SUSPENSO)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</si>
</sst>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9">
    <xf numFmtId="0" fontId="0" fillId="0" borderId="0" xfId="0"/>
    <xf numFmtId="164" fontId="0" fillId="0" borderId="0" xfId="0" applyNumberFormat="1"/>
    <xf numFmtId="164" fontId="0" fillId="0" borderId="3" xfId="0" applyNumberFormat="1" applyFill="1" applyBorder="1"/>
    <xf numFmtId="164" fontId="0" fillId="0" borderId="3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Fill="1" applyBorder="1" applyProtection="1">
      <protection locked="0"/>
    </xf>
    <xf numFmtId="164" fontId="0" fillId="0" borderId="15" xfId="0" applyNumberFormat="1" applyFill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6" fillId="0" borderId="0" xfId="0" applyFont="1" applyAlignme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164" fontId="1" fillId="0" borderId="3" xfId="0" applyNumberFormat="1" applyFont="1" applyFill="1" applyBorder="1" applyProtection="1">
      <protection locked="0"/>
    </xf>
    <xf numFmtId="164" fontId="1" fillId="0" borderId="24" xfId="0" applyNumberFormat="1" applyFont="1" applyFill="1" applyBorder="1" applyProtection="1">
      <protection locked="0"/>
    </xf>
    <xf numFmtId="164" fontId="1" fillId="0" borderId="15" xfId="0" applyNumberFormat="1" applyFont="1" applyFill="1" applyBorder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right"/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49" fontId="8" fillId="2" borderId="8" xfId="0" applyNumberFormat="1" applyFont="1" applyFill="1" applyBorder="1" applyAlignment="1"/>
    <xf numFmtId="164" fontId="1" fillId="0" borderId="24" xfId="0" applyNumberFormat="1" applyFont="1" applyBorder="1" applyAlignment="1" applyProtection="1">
      <alignment horizontal="center"/>
      <protection locked="0"/>
    </xf>
    <xf numFmtId="0" fontId="0" fillId="0" borderId="25" xfId="0" applyBorder="1"/>
    <xf numFmtId="164" fontId="1" fillId="4" borderId="26" xfId="0" applyNumberFormat="1" applyFont="1" applyFill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Fill="1" applyBorder="1" applyProtection="1">
      <protection locked="0"/>
    </xf>
    <xf numFmtId="164" fontId="0" fillId="0" borderId="24" xfId="0" applyNumberFormat="1" applyFill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1" fillId="0" borderId="0" xfId="0" applyFont="1" applyProtection="1">
      <protection locked="0"/>
    </xf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Border="1" applyAlignment="1">
      <alignment horizontal="center"/>
    </xf>
    <xf numFmtId="0" fontId="4" fillId="4" borderId="11" xfId="0" applyFont="1" applyFill="1" applyBorder="1" applyAlignment="1" applyProtection="1">
      <alignment horizontal="left"/>
      <protection locked="0"/>
    </xf>
    <xf numFmtId="0" fontId="4" fillId="4" borderId="0" xfId="0" applyFont="1" applyFill="1" applyBorder="1" applyAlignment="1" applyProtection="1">
      <alignment horizontal="left"/>
      <protection locked="0"/>
    </xf>
    <xf numFmtId="0" fontId="4" fillId="4" borderId="12" xfId="0" applyFon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0" fillId="4" borderId="13" xfId="0" applyFont="1" applyFill="1" applyBorder="1" applyAlignment="1" applyProtection="1">
      <alignment horizontal="left"/>
      <protection locked="0"/>
    </xf>
    <xf numFmtId="0" fontId="0" fillId="4" borderId="2" xfId="0" applyFont="1" applyFill="1" applyBorder="1" applyAlignment="1" applyProtection="1">
      <alignment horizontal="left"/>
      <protection locked="0"/>
    </xf>
    <xf numFmtId="0" fontId="0" fillId="4" borderId="14" xfId="0" applyFont="1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Border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  <xf numFmtId="0" fontId="0" fillId="4" borderId="11" xfId="0" applyFont="1" applyFill="1" applyBorder="1" applyAlignment="1" applyProtection="1">
      <alignment horizontal="left"/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0" fillId="4" borderId="12" xfId="0" applyFont="1" applyFill="1" applyBorder="1" applyAlignment="1" applyProtection="1">
      <alignment horizontal="left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2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A21" sqref="A21"/>
    </sheetView>
  </sheetViews>
  <sheetFormatPr defaultRowHeight="15" outlineLevelCol="1" x14ac:dyDescent="0.25"/>
  <cols>
    <col min="1" max="1" width="3.7109375" customWidth="1"/>
    <col min="2" max="2" width="44.140625" bestFit="1" customWidth="1"/>
    <col min="3" max="3" width="13.28515625" bestFit="1" customWidth="1"/>
    <col min="4" max="4" width="12.5703125" bestFit="1" customWidth="1"/>
    <col min="5" max="5" width="8.1406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5" width="10.140625" bestFit="1" customWidth="1"/>
    <col min="16" max="16" width="9.5703125" bestFit="1" customWidth="1"/>
    <col min="17" max="17" width="1.42578125" customWidth="1"/>
    <col min="18" max="18" width="15.85546875" hidden="1" customWidth="1" outlineLevel="1"/>
    <col min="19" max="19" width="9.140625" collapsed="1"/>
  </cols>
  <sheetData>
    <row r="1" spans="1:19" ht="16.5" x14ac:dyDescent="0.25">
      <c r="B1" s="57" t="s">
        <v>50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9" ht="16.5" x14ac:dyDescent="0.25">
      <c r="B2" s="57" t="s">
        <v>51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9" ht="4.5" customHeight="1" thickBot="1" x14ac:dyDescent="0.3"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9" ht="19.5" thickBot="1" x14ac:dyDescent="0.35">
      <c r="B4" s="36" t="s">
        <v>83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x14ac:dyDescent="0.25">
      <c r="B5" s="59" t="s">
        <v>49</v>
      </c>
      <c r="C5" s="61" t="s">
        <v>39</v>
      </c>
      <c r="D5" s="65" t="s">
        <v>65</v>
      </c>
      <c r="E5" s="61" t="s">
        <v>40</v>
      </c>
      <c r="F5" s="61" t="s">
        <v>66</v>
      </c>
      <c r="G5" s="45" t="s">
        <v>67</v>
      </c>
      <c r="H5" s="46" t="s">
        <v>69</v>
      </c>
      <c r="I5" s="20" t="s">
        <v>52</v>
      </c>
      <c r="J5" s="8" t="s">
        <v>75</v>
      </c>
      <c r="K5" s="20" t="s">
        <v>41</v>
      </c>
      <c r="L5" s="63" t="s">
        <v>43</v>
      </c>
      <c r="M5" s="61" t="s">
        <v>44</v>
      </c>
      <c r="N5" s="20" t="s">
        <v>45</v>
      </c>
      <c r="O5" s="8" t="s">
        <v>47</v>
      </c>
      <c r="P5" s="22" t="s">
        <v>41</v>
      </c>
    </row>
    <row r="6" spans="1:19" ht="15.75" thickBot="1" x14ac:dyDescent="0.3">
      <c r="B6" s="60"/>
      <c r="C6" s="62"/>
      <c r="D6" s="66"/>
      <c r="E6" s="62"/>
      <c r="F6" s="62"/>
      <c r="G6" s="47" t="s">
        <v>68</v>
      </c>
      <c r="H6" s="48" t="s">
        <v>54</v>
      </c>
      <c r="I6" s="21" t="s">
        <v>53</v>
      </c>
      <c r="J6" s="9" t="s">
        <v>76</v>
      </c>
      <c r="K6" s="21" t="s">
        <v>42</v>
      </c>
      <c r="L6" s="64"/>
      <c r="M6" s="62"/>
      <c r="N6" s="21" t="s">
        <v>46</v>
      </c>
      <c r="O6" s="9" t="s">
        <v>46</v>
      </c>
      <c r="P6" s="23" t="s">
        <v>48</v>
      </c>
    </row>
    <row r="7" spans="1:19" x14ac:dyDescent="0.25">
      <c r="A7">
        <v>1</v>
      </c>
      <c r="B7" s="16" t="s">
        <v>0</v>
      </c>
      <c r="C7" s="14">
        <f>3540.06+247.8</f>
        <v>3787.86</v>
      </c>
      <c r="D7" s="28"/>
      <c r="E7" s="31"/>
      <c r="F7" s="31">
        <f>1770.03+123.9+631.31</f>
        <v>2525.2399999999998</v>
      </c>
      <c r="G7" s="31"/>
      <c r="H7" s="31"/>
      <c r="I7" s="32"/>
      <c r="J7" s="32"/>
      <c r="K7" s="12">
        <f t="shared" ref="K7:K14" si="0">SUM(C7:I7)</f>
        <v>6313.1</v>
      </c>
      <c r="L7" s="3">
        <f>138.44+30.06</f>
        <v>168.5</v>
      </c>
      <c r="M7" s="3">
        <f>499.58+220.42</f>
        <v>720</v>
      </c>
      <c r="N7" s="2">
        <f t="shared" ref="N7:N13" si="1">K7-L7-M7-R7</f>
        <v>2316.1700000000005</v>
      </c>
      <c r="O7" s="2">
        <f t="shared" ref="O7:O60" si="2">SUM(L7:N7)</f>
        <v>3204.6700000000005</v>
      </c>
      <c r="P7" s="18">
        <f t="shared" ref="P7:P60" si="3">SUM(K7-O7)</f>
        <v>3108.43</v>
      </c>
      <c r="Q7" s="24"/>
      <c r="R7" s="25">
        <v>3108.43</v>
      </c>
    </row>
    <row r="8" spans="1:19" x14ac:dyDescent="0.25">
      <c r="A8">
        <v>2</v>
      </c>
      <c r="B8" s="16" t="s">
        <v>1</v>
      </c>
      <c r="C8" s="14">
        <v>2695.36</v>
      </c>
      <c r="D8" s="28"/>
      <c r="E8" s="31"/>
      <c r="F8" s="31"/>
      <c r="G8" s="31"/>
      <c r="H8" s="31"/>
      <c r="I8" s="32"/>
      <c r="J8" s="32"/>
      <c r="K8" s="12">
        <f t="shared" si="0"/>
        <v>2695.36</v>
      </c>
      <c r="L8" s="3">
        <v>27.7</v>
      </c>
      <c r="M8" s="3">
        <v>232.44</v>
      </c>
      <c r="N8" s="2">
        <f t="shared" si="1"/>
        <v>1372.3800000000003</v>
      </c>
      <c r="O8" s="2">
        <f t="shared" si="2"/>
        <v>1632.5200000000004</v>
      </c>
      <c r="P8" s="18">
        <f t="shared" si="3"/>
        <v>1062.8399999999997</v>
      </c>
      <c r="Q8" s="24"/>
      <c r="R8" s="25">
        <v>1062.8399999999999</v>
      </c>
    </row>
    <row r="9" spans="1:19" x14ac:dyDescent="0.25">
      <c r="A9">
        <v>3</v>
      </c>
      <c r="B9" s="16" t="s">
        <v>58</v>
      </c>
      <c r="C9" s="14">
        <f>2015.88+99.91</f>
        <v>2115.79</v>
      </c>
      <c r="D9" s="28">
        <v>1314.3</v>
      </c>
      <c r="E9" s="31"/>
      <c r="F9" s="31"/>
      <c r="G9" s="31"/>
      <c r="H9" s="31"/>
      <c r="I9" s="32"/>
      <c r="J9" s="32"/>
      <c r="K9" s="12">
        <f t="shared" si="0"/>
        <v>3430.09</v>
      </c>
      <c r="L9" s="3">
        <v>111.62</v>
      </c>
      <c r="M9" s="3">
        <v>320.60000000000002</v>
      </c>
      <c r="N9" s="2">
        <f t="shared" si="1"/>
        <v>104.51000000000022</v>
      </c>
      <c r="O9" s="2">
        <f t="shared" si="2"/>
        <v>536.73000000000025</v>
      </c>
      <c r="P9" s="18">
        <f t="shared" si="3"/>
        <v>2893.3599999999997</v>
      </c>
      <c r="Q9" s="24"/>
      <c r="R9" s="25">
        <v>2893.36</v>
      </c>
    </row>
    <row r="10" spans="1:19" x14ac:dyDescent="0.25">
      <c r="A10">
        <v>4</v>
      </c>
      <c r="B10" s="16" t="s">
        <v>79</v>
      </c>
      <c r="C10" s="14">
        <v>4143.38</v>
      </c>
      <c r="D10" s="28">
        <v>828.68</v>
      </c>
      <c r="E10" s="31"/>
      <c r="F10" s="31"/>
      <c r="G10" s="31"/>
      <c r="H10" s="31"/>
      <c r="I10" s="32"/>
      <c r="J10" s="32"/>
      <c r="K10" s="12">
        <f t="shared" ref="K10" si="4">SUM(C10:I10)</f>
        <v>4972.0600000000004</v>
      </c>
      <c r="L10" s="3">
        <v>362.83</v>
      </c>
      <c r="M10" s="3">
        <v>532.26</v>
      </c>
      <c r="N10" s="2">
        <f t="shared" ref="N10" si="5">K10-L10-M10-R10</f>
        <v>41.410000000000309</v>
      </c>
      <c r="O10" s="2">
        <f t="shared" ref="O10" si="6">SUM(L10:N10)</f>
        <v>936.50000000000023</v>
      </c>
      <c r="P10" s="18">
        <f t="shared" ref="P10" si="7">SUM(K10-O10)</f>
        <v>4035.5600000000004</v>
      </c>
      <c r="Q10" s="24"/>
      <c r="R10" s="25">
        <v>4035.56</v>
      </c>
    </row>
    <row r="11" spans="1:19" x14ac:dyDescent="0.25">
      <c r="A11">
        <v>5</v>
      </c>
      <c r="B11" s="16" t="s">
        <v>2</v>
      </c>
      <c r="C11" s="14">
        <v>2913.19</v>
      </c>
      <c r="D11" s="28"/>
      <c r="E11" s="31"/>
      <c r="F11" s="31"/>
      <c r="G11" s="31"/>
      <c r="H11" s="31"/>
      <c r="I11" s="32"/>
      <c r="J11" s="32"/>
      <c r="K11" s="12">
        <f t="shared" si="0"/>
        <v>2913.19</v>
      </c>
      <c r="L11" s="3">
        <v>56.3</v>
      </c>
      <c r="M11" s="3">
        <v>258.58</v>
      </c>
      <c r="N11" s="2">
        <f t="shared" si="1"/>
        <v>415.9699999999998</v>
      </c>
      <c r="O11" s="2">
        <f t="shared" si="2"/>
        <v>730.8499999999998</v>
      </c>
      <c r="P11" s="18">
        <f>SUM(K11-O11)+H11</f>
        <v>2182.34</v>
      </c>
      <c r="Q11" s="24"/>
      <c r="R11" s="25">
        <v>2182.34</v>
      </c>
      <c r="S11" s="1"/>
    </row>
    <row r="12" spans="1:19" x14ac:dyDescent="0.25">
      <c r="A12">
        <v>6</v>
      </c>
      <c r="B12" s="16" t="s">
        <v>3</v>
      </c>
      <c r="C12" s="14">
        <v>3911.14</v>
      </c>
      <c r="D12" s="28"/>
      <c r="E12" s="31"/>
      <c r="F12" s="31"/>
      <c r="G12" s="31"/>
      <c r="H12" s="31"/>
      <c r="I12" s="32"/>
      <c r="J12" s="32"/>
      <c r="K12" s="12">
        <f t="shared" si="0"/>
        <v>3911.14</v>
      </c>
      <c r="L12" s="3">
        <v>145.87</v>
      </c>
      <c r="M12" s="3">
        <v>383.73</v>
      </c>
      <c r="N12" s="2">
        <f t="shared" si="1"/>
        <v>1208.6999999999998</v>
      </c>
      <c r="O12" s="2">
        <f t="shared" si="2"/>
        <v>1738.2999999999997</v>
      </c>
      <c r="P12" s="18">
        <f t="shared" si="3"/>
        <v>2172.84</v>
      </c>
      <c r="Q12" s="24"/>
      <c r="R12" s="25">
        <v>2172.84</v>
      </c>
    </row>
    <row r="13" spans="1:19" x14ac:dyDescent="0.25">
      <c r="A13">
        <v>7</v>
      </c>
      <c r="B13" s="16" t="s">
        <v>77</v>
      </c>
      <c r="C13" s="14">
        <v>4143.38</v>
      </c>
      <c r="D13" s="28">
        <v>828.68</v>
      </c>
      <c r="E13" s="31"/>
      <c r="F13" s="31"/>
      <c r="G13" s="31"/>
      <c r="H13" s="31"/>
      <c r="I13" s="32"/>
      <c r="J13" s="32"/>
      <c r="K13" s="12">
        <f t="shared" si="0"/>
        <v>4972.0600000000004</v>
      </c>
      <c r="L13" s="3">
        <v>362.83</v>
      </c>
      <c r="M13" s="3">
        <v>532.26</v>
      </c>
      <c r="N13" s="2">
        <f t="shared" si="1"/>
        <v>6.4700000000002547</v>
      </c>
      <c r="O13" s="2">
        <f t="shared" si="2"/>
        <v>901.56000000000017</v>
      </c>
      <c r="P13" s="18">
        <f t="shared" si="3"/>
        <v>4070.5</v>
      </c>
      <c r="Q13" s="24"/>
      <c r="R13" s="25">
        <v>4070.5</v>
      </c>
    </row>
    <row r="14" spans="1:19" x14ac:dyDescent="0.25">
      <c r="A14">
        <v>8</v>
      </c>
      <c r="B14" s="16" t="s">
        <v>4</v>
      </c>
      <c r="C14" s="14">
        <f>12373.16+6310.31</f>
        <v>18683.47</v>
      </c>
      <c r="D14" s="28">
        <f>1237.32+4949.26</f>
        <v>6186.58</v>
      </c>
      <c r="E14" s="31"/>
      <c r="F14" s="31"/>
      <c r="G14" s="31"/>
      <c r="H14" s="31"/>
      <c r="I14" s="32"/>
      <c r="J14" s="32"/>
      <c r="K14" s="12">
        <f t="shared" si="0"/>
        <v>24870.050000000003</v>
      </c>
      <c r="L14" s="3">
        <v>5742.1</v>
      </c>
      <c r="M14" s="3">
        <v>828.38</v>
      </c>
      <c r="N14" s="2">
        <f>K14-L14-M14-R14</f>
        <v>336.68000000000393</v>
      </c>
      <c r="O14" s="2">
        <f t="shared" si="2"/>
        <v>6907.1600000000044</v>
      </c>
      <c r="P14" s="18">
        <f t="shared" si="3"/>
        <v>17962.89</v>
      </c>
      <c r="Q14" s="24"/>
      <c r="R14" s="25">
        <v>17962.89</v>
      </c>
    </row>
    <row r="15" spans="1:19" x14ac:dyDescent="0.25">
      <c r="A15">
        <v>9</v>
      </c>
      <c r="B15" s="16" t="s">
        <v>5</v>
      </c>
      <c r="C15" s="14">
        <f>12373.16+3810.93</f>
        <v>16184.09</v>
      </c>
      <c r="D15" s="28">
        <v>4949.26</v>
      </c>
      <c r="E15" s="31"/>
      <c r="F15" s="31"/>
      <c r="G15" s="31"/>
      <c r="H15" s="31"/>
      <c r="I15" s="32"/>
      <c r="J15" s="32"/>
      <c r="K15" s="12">
        <f t="shared" ref="K15:K31" si="8">SUM(C15:I15)</f>
        <v>21133.35</v>
      </c>
      <c r="L15" s="3">
        <v>4714.51</v>
      </c>
      <c r="M15" s="3">
        <v>828.38</v>
      </c>
      <c r="N15" s="2">
        <f t="shared" ref="N15:N40" si="9">K15-L15-M15-R15</f>
        <v>106.79999999999745</v>
      </c>
      <c r="O15" s="2">
        <f t="shared" si="2"/>
        <v>5649.6899999999978</v>
      </c>
      <c r="P15" s="18">
        <f t="shared" si="3"/>
        <v>15483.66</v>
      </c>
      <c r="Q15" s="24"/>
      <c r="R15" s="25">
        <v>15483.66</v>
      </c>
    </row>
    <row r="16" spans="1:19" x14ac:dyDescent="0.25">
      <c r="A16">
        <v>10</v>
      </c>
      <c r="B16" s="16" t="s">
        <v>6</v>
      </c>
      <c r="C16" s="14">
        <v>2670.44</v>
      </c>
      <c r="D16" s="28"/>
      <c r="E16" s="31"/>
      <c r="F16" s="49"/>
      <c r="G16" s="4"/>
      <c r="H16" s="31"/>
      <c r="I16" s="32"/>
      <c r="J16" s="32"/>
      <c r="K16" s="12">
        <f t="shared" si="8"/>
        <v>2670.44</v>
      </c>
      <c r="L16" s="3">
        <v>40.270000000000003</v>
      </c>
      <c r="M16" s="3">
        <v>229.45</v>
      </c>
      <c r="N16" s="2">
        <f t="shared" si="9"/>
        <v>18.590000000000146</v>
      </c>
      <c r="O16" s="2">
        <f t="shared" si="2"/>
        <v>288.31000000000012</v>
      </c>
      <c r="P16" s="18">
        <f t="shared" si="3"/>
        <v>2382.13</v>
      </c>
      <c r="Q16" s="24"/>
      <c r="R16" s="25">
        <v>2382.13</v>
      </c>
    </row>
    <row r="17" spans="1:18" x14ac:dyDescent="0.25">
      <c r="A17">
        <v>11</v>
      </c>
      <c r="B17" s="16" t="s">
        <v>7</v>
      </c>
      <c r="C17" s="14">
        <v>2501.96</v>
      </c>
      <c r="D17" s="28"/>
      <c r="E17" s="31"/>
      <c r="F17" s="31"/>
      <c r="G17" s="31"/>
      <c r="H17" s="31"/>
      <c r="I17" s="32"/>
      <c r="J17" s="32"/>
      <c r="K17" s="12">
        <f t="shared" si="8"/>
        <v>2501.96</v>
      </c>
      <c r="L17" s="3">
        <v>29.15</v>
      </c>
      <c r="M17" s="3">
        <v>209.23</v>
      </c>
      <c r="N17" s="2">
        <f t="shared" si="9"/>
        <v>64.130000000000109</v>
      </c>
      <c r="O17" s="2">
        <f t="shared" si="2"/>
        <v>302.5100000000001</v>
      </c>
      <c r="P17" s="18">
        <f t="shared" si="3"/>
        <v>2199.4499999999998</v>
      </c>
      <c r="Q17" s="24"/>
      <c r="R17" s="25">
        <v>2199.4499999999998</v>
      </c>
    </row>
    <row r="18" spans="1:18" x14ac:dyDescent="0.25">
      <c r="A18">
        <v>12</v>
      </c>
      <c r="B18" s="16" t="s">
        <v>61</v>
      </c>
      <c r="C18" s="14">
        <f>1533.85+46.02</f>
        <v>1579.87</v>
      </c>
      <c r="D18" s="28"/>
      <c r="E18" s="31"/>
      <c r="F18" s="31">
        <f>1342.11+40.26+460.79</f>
        <v>1843.1599999999999</v>
      </c>
      <c r="G18" s="31"/>
      <c r="H18" s="31"/>
      <c r="I18" s="32"/>
      <c r="J18" s="32"/>
      <c r="K18" s="12">
        <f t="shared" si="8"/>
        <v>3423.0299999999997</v>
      </c>
      <c r="L18" s="3"/>
      <c r="M18" s="3">
        <f>170.38+149.38</f>
        <v>319.76</v>
      </c>
      <c r="N18" s="2">
        <f t="shared" si="9"/>
        <v>1700.2499999999995</v>
      </c>
      <c r="O18" s="2">
        <f t="shared" si="2"/>
        <v>2020.0099999999995</v>
      </c>
      <c r="P18" s="18">
        <f t="shared" si="3"/>
        <v>1403.0200000000002</v>
      </c>
      <c r="Q18" s="24"/>
      <c r="R18" s="25">
        <v>1403.02</v>
      </c>
    </row>
    <row r="19" spans="1:18" x14ac:dyDescent="0.25">
      <c r="A19">
        <v>13</v>
      </c>
      <c r="B19" s="16" t="s">
        <v>8</v>
      </c>
      <c r="C19" s="14">
        <f>3167.75+742.74</f>
        <v>3910.49</v>
      </c>
      <c r="D19" s="28">
        <v>1783.86</v>
      </c>
      <c r="E19" s="31"/>
      <c r="F19" s="31">
        <f>844.73+2111.83+443.48+1133.35</f>
        <v>4533.3899999999994</v>
      </c>
      <c r="G19" s="31"/>
      <c r="H19" s="31"/>
      <c r="I19" s="32"/>
      <c r="J19" s="32"/>
      <c r="K19" s="12">
        <f t="shared" si="8"/>
        <v>10227.739999999998</v>
      </c>
      <c r="L19" s="3">
        <f>446.01+167</f>
        <v>613.01</v>
      </c>
      <c r="M19" s="3">
        <f>342.43+485.95</f>
        <v>828.38</v>
      </c>
      <c r="N19" s="2">
        <f t="shared" si="9"/>
        <v>4443.9499999999989</v>
      </c>
      <c r="O19" s="2">
        <f t="shared" si="2"/>
        <v>5885.3399999999983</v>
      </c>
      <c r="P19" s="18">
        <f t="shared" si="3"/>
        <v>4342.3999999999996</v>
      </c>
      <c r="Q19" s="24"/>
      <c r="R19" s="25">
        <v>4342.3999999999996</v>
      </c>
    </row>
    <row r="20" spans="1:18" x14ac:dyDescent="0.25">
      <c r="A20">
        <v>14</v>
      </c>
      <c r="B20" s="16" t="s">
        <v>9</v>
      </c>
      <c r="C20" s="14">
        <f>2060.53+185.45</f>
        <v>2245.98</v>
      </c>
      <c r="D20" s="28"/>
      <c r="E20" s="31"/>
      <c r="F20" s="31">
        <f>412.11+37.09+149.73</f>
        <v>598.93000000000006</v>
      </c>
      <c r="G20" s="31"/>
      <c r="H20" s="31"/>
      <c r="I20" s="32"/>
      <c r="J20" s="32"/>
      <c r="K20" s="12">
        <f t="shared" si="8"/>
        <v>2844.91</v>
      </c>
      <c r="L20" s="3">
        <v>10.24</v>
      </c>
      <c r="M20" s="3">
        <v>205.47</v>
      </c>
      <c r="N20" s="2">
        <f t="shared" si="9"/>
        <v>605.40000000000032</v>
      </c>
      <c r="O20" s="2">
        <f t="shared" si="2"/>
        <v>821.11000000000035</v>
      </c>
      <c r="P20" s="18">
        <f t="shared" si="3"/>
        <v>2023.7999999999995</v>
      </c>
      <c r="Q20" s="24"/>
      <c r="R20" s="25">
        <v>2023.8</v>
      </c>
    </row>
    <row r="21" spans="1:18" x14ac:dyDescent="0.25">
      <c r="A21">
        <v>15</v>
      </c>
      <c r="B21" s="16" t="s">
        <v>10</v>
      </c>
      <c r="C21" s="14">
        <f>13629.26+8007.19</f>
        <v>21636.45</v>
      </c>
      <c r="D21" s="28">
        <v>18399.5</v>
      </c>
      <c r="E21" s="31"/>
      <c r="F21" s="31"/>
      <c r="G21" s="31"/>
      <c r="H21" s="31"/>
      <c r="I21" s="32"/>
      <c r="J21" s="32"/>
      <c r="K21" s="12">
        <f t="shared" si="8"/>
        <v>40035.949999999997</v>
      </c>
      <c r="L21" s="3">
        <v>9708.5</v>
      </c>
      <c r="M21" s="3">
        <v>828.38</v>
      </c>
      <c r="N21" s="2">
        <f t="shared" si="9"/>
        <v>1042.6299999999974</v>
      </c>
      <c r="O21" s="2">
        <f t="shared" si="2"/>
        <v>11579.509999999997</v>
      </c>
      <c r="P21" s="18">
        <f t="shared" si="3"/>
        <v>28456.440000000002</v>
      </c>
      <c r="Q21" s="24"/>
      <c r="R21" s="25">
        <v>28456.44</v>
      </c>
    </row>
    <row r="22" spans="1:18" x14ac:dyDescent="0.25">
      <c r="A22">
        <v>16</v>
      </c>
      <c r="B22" s="16" t="s">
        <v>11</v>
      </c>
      <c r="C22" s="14">
        <f>12373.16+4008.9</f>
        <v>16382.06</v>
      </c>
      <c r="D22" s="28">
        <v>2474.63</v>
      </c>
      <c r="E22" s="31"/>
      <c r="F22" s="31"/>
      <c r="G22" s="31"/>
      <c r="H22" s="31"/>
      <c r="I22" s="32"/>
      <c r="J22" s="32"/>
      <c r="K22" s="12">
        <f t="shared" si="8"/>
        <v>18856.689999999999</v>
      </c>
      <c r="L22" s="3">
        <v>4036.29</v>
      </c>
      <c r="M22" s="3">
        <v>828.38</v>
      </c>
      <c r="N22" s="2">
        <f t="shared" si="9"/>
        <v>2326.0899999999983</v>
      </c>
      <c r="O22" s="2">
        <f t="shared" si="2"/>
        <v>7190.7599999999984</v>
      </c>
      <c r="P22" s="18">
        <f t="shared" si="3"/>
        <v>11665.93</v>
      </c>
      <c r="Q22" s="24"/>
      <c r="R22" s="25">
        <v>11665.93</v>
      </c>
    </row>
    <row r="23" spans="1:18" x14ac:dyDescent="0.25">
      <c r="A23">
        <v>17</v>
      </c>
      <c r="B23" s="16" t="s">
        <v>12</v>
      </c>
      <c r="C23" s="14">
        <f>2919.46+671.47</f>
        <v>3590.9300000000003</v>
      </c>
      <c r="D23" s="28"/>
      <c r="E23" s="31"/>
      <c r="F23" s="31">
        <f>2554.52+587.54+1047.35</f>
        <v>4189.41</v>
      </c>
      <c r="G23" s="31"/>
      <c r="H23" s="31"/>
      <c r="I23" s="32"/>
      <c r="J23" s="32"/>
      <c r="K23" s="12">
        <f t="shared" si="8"/>
        <v>7780.34</v>
      </c>
      <c r="L23" s="3">
        <f>68.79+151.07</f>
        <v>219.86</v>
      </c>
      <c r="M23" s="3">
        <f>390.59+437.79</f>
        <v>828.38</v>
      </c>
      <c r="N23" s="2">
        <f t="shared" si="9"/>
        <v>5508.81</v>
      </c>
      <c r="O23" s="2">
        <f t="shared" si="2"/>
        <v>6557.05</v>
      </c>
      <c r="P23" s="18">
        <f t="shared" si="3"/>
        <v>1223.29</v>
      </c>
      <c r="Q23" s="24"/>
      <c r="R23" s="25">
        <v>1223.29</v>
      </c>
    </row>
    <row r="24" spans="1:18" x14ac:dyDescent="0.25">
      <c r="A24">
        <v>18</v>
      </c>
      <c r="B24" s="16" t="s">
        <v>74</v>
      </c>
      <c r="C24" s="14">
        <f>1943.53+19.44</f>
        <v>1962.97</v>
      </c>
      <c r="D24" s="28"/>
      <c r="E24" s="31"/>
      <c r="F24" s="31"/>
      <c r="G24" s="31">
        <f>64.78+0.65+21.81</f>
        <v>87.240000000000009</v>
      </c>
      <c r="H24" s="31"/>
      <c r="I24" s="32"/>
      <c r="J24" s="32"/>
      <c r="K24" s="12">
        <f t="shared" si="8"/>
        <v>2050.21</v>
      </c>
      <c r="L24" s="3"/>
      <c r="M24" s="3">
        <v>158.47999999999999</v>
      </c>
      <c r="N24" s="2">
        <f t="shared" ref="N24" si="10">K24-L24-M24-R24</f>
        <v>93.710000000000036</v>
      </c>
      <c r="O24" s="2">
        <f t="shared" ref="O24" si="11">SUM(L24:N24)</f>
        <v>252.19000000000003</v>
      </c>
      <c r="P24" s="18">
        <f t="shared" ref="P24" si="12">SUM(K24-O24)</f>
        <v>1798.02</v>
      </c>
      <c r="Q24" s="24"/>
      <c r="R24" s="25">
        <v>1798.02</v>
      </c>
    </row>
    <row r="25" spans="1:18" x14ac:dyDescent="0.25">
      <c r="A25">
        <v>19</v>
      </c>
      <c r="B25" s="16" t="s">
        <v>55</v>
      </c>
      <c r="C25" s="14">
        <f>1891.12+75.64</f>
        <v>1966.76</v>
      </c>
      <c r="D25" s="28"/>
      <c r="E25" s="31"/>
      <c r="F25" s="31">
        <f>1094.86+43.79+379.55</f>
        <v>1518.1999999999998</v>
      </c>
      <c r="G25" s="31"/>
      <c r="H25" s="31"/>
      <c r="I25" s="32"/>
      <c r="J25" s="32"/>
      <c r="K25" s="12">
        <f t="shared" si="8"/>
        <v>3484.96</v>
      </c>
      <c r="L25" s="3"/>
      <c r="M25" s="3">
        <f>207.06+120.13</f>
        <v>327.19</v>
      </c>
      <c r="N25" s="2">
        <f t="shared" si="9"/>
        <v>1429.5</v>
      </c>
      <c r="O25" s="2">
        <f t="shared" si="2"/>
        <v>1756.69</v>
      </c>
      <c r="P25" s="18">
        <f t="shared" si="3"/>
        <v>1728.27</v>
      </c>
      <c r="Q25" s="24"/>
      <c r="R25" s="25">
        <v>1728.27</v>
      </c>
    </row>
    <row r="26" spans="1:18" x14ac:dyDescent="0.25">
      <c r="A26">
        <v>20</v>
      </c>
      <c r="B26" s="16" t="s">
        <v>84</v>
      </c>
      <c r="C26" s="14">
        <v>0</v>
      </c>
      <c r="D26" s="28">
        <v>0</v>
      </c>
      <c r="E26" s="31"/>
      <c r="F26" s="31"/>
      <c r="G26" s="31"/>
      <c r="H26" s="31"/>
      <c r="I26" s="32"/>
      <c r="J26" s="32"/>
      <c r="K26" s="12">
        <f t="shared" si="8"/>
        <v>0</v>
      </c>
      <c r="L26" s="3"/>
      <c r="M26" s="3"/>
      <c r="N26" s="2">
        <f t="shared" si="9"/>
        <v>0</v>
      </c>
      <c r="O26" s="2">
        <f t="shared" si="2"/>
        <v>0</v>
      </c>
      <c r="P26" s="18">
        <f t="shared" si="3"/>
        <v>0</v>
      </c>
      <c r="Q26" s="24"/>
      <c r="R26" s="25"/>
    </row>
    <row r="27" spans="1:18" x14ac:dyDescent="0.25">
      <c r="A27">
        <v>21</v>
      </c>
      <c r="B27" s="16" t="s">
        <v>13</v>
      </c>
      <c r="C27" s="14">
        <f>4561.65+1414.11</f>
        <v>5975.7599999999993</v>
      </c>
      <c r="D27" s="28"/>
      <c r="E27" s="31"/>
      <c r="F27" s="31">
        <f>912.33+282.82+398.38</f>
        <v>1593.5300000000002</v>
      </c>
      <c r="G27" s="31"/>
      <c r="H27" s="31"/>
      <c r="I27" s="32"/>
      <c r="J27" s="32"/>
      <c r="K27" s="12">
        <f t="shared" si="8"/>
        <v>7569.2899999999991</v>
      </c>
      <c r="L27" s="3">
        <v>476.8</v>
      </c>
      <c r="M27" s="3">
        <f>701.47+126.91</f>
        <v>828.38</v>
      </c>
      <c r="N27" s="2">
        <f t="shared" si="9"/>
        <v>1805.829999999999</v>
      </c>
      <c r="O27" s="2">
        <f t="shared" si="2"/>
        <v>3111.0099999999993</v>
      </c>
      <c r="P27" s="18">
        <f>SUM(K27-O27)+H27</f>
        <v>4458.28</v>
      </c>
      <c r="Q27" s="24"/>
      <c r="R27" s="25">
        <v>4458.28</v>
      </c>
    </row>
    <row r="28" spans="1:18" x14ac:dyDescent="0.25">
      <c r="A28">
        <v>22</v>
      </c>
      <c r="B28" s="16" t="s">
        <v>14</v>
      </c>
      <c r="C28" s="14">
        <f>4866.1+340.63</f>
        <v>5206.7300000000005</v>
      </c>
      <c r="D28" s="28"/>
      <c r="E28" s="31"/>
      <c r="F28" s="31">
        <f>2433.05+170.31+867.79</f>
        <v>3471.15</v>
      </c>
      <c r="G28" s="31"/>
      <c r="H28" s="31"/>
      <c r="I28" s="32"/>
      <c r="J28" s="32"/>
      <c r="K28" s="12">
        <f t="shared" si="8"/>
        <v>8677.880000000001</v>
      </c>
      <c r="L28" s="3">
        <f>427.43+115.29</f>
        <v>542.72</v>
      </c>
      <c r="M28" s="3">
        <f>491.14+337.24</f>
        <v>828.38</v>
      </c>
      <c r="N28" s="2">
        <f t="shared" si="9"/>
        <v>3025.0900000000011</v>
      </c>
      <c r="O28" s="2">
        <f t="shared" si="2"/>
        <v>4396.1900000000005</v>
      </c>
      <c r="P28" s="18">
        <f t="shared" si="3"/>
        <v>4281.6900000000005</v>
      </c>
      <c r="Q28" s="24"/>
      <c r="R28" s="25">
        <v>4281.6899999999996</v>
      </c>
    </row>
    <row r="29" spans="1:18" x14ac:dyDescent="0.25">
      <c r="A29">
        <v>23</v>
      </c>
      <c r="B29" s="16" t="s">
        <v>15</v>
      </c>
      <c r="C29" s="14">
        <v>2598.85</v>
      </c>
      <c r="D29" s="28"/>
      <c r="E29" s="31"/>
      <c r="F29" s="31"/>
      <c r="G29" s="31"/>
      <c r="H29" s="31"/>
      <c r="I29" s="32"/>
      <c r="J29" s="32"/>
      <c r="K29" s="12">
        <f t="shared" si="8"/>
        <v>2598.85</v>
      </c>
      <c r="L29" s="3">
        <v>35.549999999999997</v>
      </c>
      <c r="M29" s="3">
        <v>220.86</v>
      </c>
      <c r="N29" s="2">
        <f t="shared" si="9"/>
        <v>786.50999999999954</v>
      </c>
      <c r="O29" s="2">
        <f t="shared" si="2"/>
        <v>1042.9199999999996</v>
      </c>
      <c r="P29" s="18">
        <f t="shared" si="3"/>
        <v>1555.9300000000003</v>
      </c>
      <c r="Q29" s="24"/>
      <c r="R29" s="25">
        <v>1555.93</v>
      </c>
    </row>
    <row r="30" spans="1:18" x14ac:dyDescent="0.25">
      <c r="A30">
        <v>24</v>
      </c>
      <c r="B30" s="16" t="s">
        <v>16</v>
      </c>
      <c r="C30" s="14">
        <f>4533.48+1228.03</f>
        <v>5761.5099999999993</v>
      </c>
      <c r="D30" s="28">
        <v>1314.3</v>
      </c>
      <c r="E30" s="31"/>
      <c r="F30" s="31"/>
      <c r="G30" s="31"/>
      <c r="H30" s="31"/>
      <c r="I30" s="32"/>
      <c r="J30" s="32"/>
      <c r="K30" s="12">
        <f t="shared" si="8"/>
        <v>7075.8099999999995</v>
      </c>
      <c r="L30" s="3">
        <v>744.85</v>
      </c>
      <c r="M30" s="3">
        <v>826.78</v>
      </c>
      <c r="N30" s="2">
        <f t="shared" si="9"/>
        <v>723.82999999999902</v>
      </c>
      <c r="O30" s="2">
        <f t="shared" si="2"/>
        <v>2295.4599999999991</v>
      </c>
      <c r="P30" s="18">
        <f t="shared" si="3"/>
        <v>4780.3500000000004</v>
      </c>
      <c r="Q30" s="24"/>
      <c r="R30" s="25">
        <v>4780.3500000000004</v>
      </c>
    </row>
    <row r="31" spans="1:18" x14ac:dyDescent="0.25">
      <c r="A31">
        <v>25</v>
      </c>
      <c r="B31" s="16" t="s">
        <v>17</v>
      </c>
      <c r="C31" s="14">
        <f>2498.01+799.36</f>
        <v>3297.3700000000003</v>
      </c>
      <c r="D31" s="28"/>
      <c r="E31" s="31"/>
      <c r="F31" s="31">
        <f>2498.01+799.36+1099.12</f>
        <v>4396.49</v>
      </c>
      <c r="G31" s="31">
        <f>1665.34+532.91+732.75</f>
        <v>2931</v>
      </c>
      <c r="H31" s="31"/>
      <c r="I31" s="32"/>
      <c r="J31" s="32"/>
      <c r="K31" s="12">
        <f t="shared" si="8"/>
        <v>10624.86</v>
      </c>
      <c r="L31" s="3">
        <f>85.57+248.05</f>
        <v>333.62</v>
      </c>
      <c r="M31" s="3">
        <f>361.6+466.78</f>
        <v>828.38</v>
      </c>
      <c r="N31" s="2">
        <f t="shared" si="9"/>
        <v>6863.7400000000007</v>
      </c>
      <c r="O31" s="2">
        <f t="shared" si="2"/>
        <v>8025.7400000000007</v>
      </c>
      <c r="P31" s="18">
        <f t="shared" si="3"/>
        <v>2599.12</v>
      </c>
      <c r="Q31" s="24"/>
      <c r="R31" s="25">
        <v>2599.12</v>
      </c>
    </row>
    <row r="32" spans="1:18" x14ac:dyDescent="0.25">
      <c r="A32">
        <v>26</v>
      </c>
      <c r="B32" s="16" t="s">
        <v>59</v>
      </c>
      <c r="C32" s="14">
        <f>2497.64+74.93</f>
        <v>2572.5699999999997</v>
      </c>
      <c r="D32" s="28"/>
      <c r="E32" s="31"/>
      <c r="F32" s="31">
        <f>2185.44+65.56+750.33</f>
        <v>3001.33</v>
      </c>
      <c r="G32" s="31"/>
      <c r="H32" s="31"/>
      <c r="I32" s="32"/>
      <c r="J32" s="32"/>
      <c r="K32" s="12">
        <f>SUM(C32:I32)</f>
        <v>5573.9</v>
      </c>
      <c r="L32" s="3">
        <f>24.82+61.48</f>
        <v>86.3</v>
      </c>
      <c r="M32" s="3">
        <f>338.97+277.55</f>
        <v>616.52</v>
      </c>
      <c r="N32" s="2">
        <f t="shared" ref="N32" si="13">K32-L32-M32-R32</f>
        <v>2703.61</v>
      </c>
      <c r="O32" s="2">
        <f t="shared" ref="O32" si="14">SUM(L32:N32)</f>
        <v>3406.4300000000003</v>
      </c>
      <c r="P32" s="18">
        <f>SUM(K32-O32)+H32</f>
        <v>2167.4699999999993</v>
      </c>
      <c r="Q32" s="24"/>
      <c r="R32" s="25">
        <v>2167.4699999999998</v>
      </c>
    </row>
    <row r="33" spans="1:18" x14ac:dyDescent="0.25">
      <c r="A33">
        <v>27</v>
      </c>
      <c r="B33" s="16" t="s">
        <v>18</v>
      </c>
      <c r="C33" s="14">
        <v>2307</v>
      </c>
      <c r="D33" s="28"/>
      <c r="E33" s="31"/>
      <c r="F33" s="31"/>
      <c r="G33" s="31"/>
      <c r="H33" s="31"/>
      <c r="I33" s="32"/>
      <c r="J33" s="32"/>
      <c r="K33" s="12">
        <f>SUM(C33:I33)</f>
        <v>2307</v>
      </c>
      <c r="L33" s="3"/>
      <c r="M33" s="3">
        <v>174.7</v>
      </c>
      <c r="N33" s="2">
        <f t="shared" si="9"/>
        <v>571.70000000000027</v>
      </c>
      <c r="O33" s="2">
        <f t="shared" si="2"/>
        <v>746.40000000000032</v>
      </c>
      <c r="P33" s="18">
        <f>SUM(K33-O33)+H33</f>
        <v>1560.5999999999997</v>
      </c>
      <c r="Q33" s="24"/>
      <c r="R33" s="25">
        <v>1560.6</v>
      </c>
    </row>
    <row r="34" spans="1:18" x14ac:dyDescent="0.25">
      <c r="A34">
        <v>28</v>
      </c>
      <c r="B34" s="16" t="s">
        <v>19</v>
      </c>
      <c r="C34" s="14">
        <f>5274.51+822.82</f>
        <v>6097.33</v>
      </c>
      <c r="D34" s="28">
        <v>1054.9000000000001</v>
      </c>
      <c r="E34" s="31"/>
      <c r="F34" s="31"/>
      <c r="G34" s="31"/>
      <c r="H34" s="31"/>
      <c r="I34" s="32"/>
      <c r="J34" s="32"/>
      <c r="K34" s="12">
        <f>SUM(C34:I34)</f>
        <v>7152.23</v>
      </c>
      <c r="L34" s="3">
        <v>869.7</v>
      </c>
      <c r="M34" s="3">
        <v>828.38</v>
      </c>
      <c r="N34" s="2">
        <f t="shared" si="9"/>
        <v>66.409999999999854</v>
      </c>
      <c r="O34" s="2">
        <f t="shared" si="2"/>
        <v>1764.4899999999998</v>
      </c>
      <c r="P34" s="18">
        <f t="shared" si="3"/>
        <v>5387.74</v>
      </c>
      <c r="Q34" s="24"/>
      <c r="R34" s="25">
        <v>5387.74</v>
      </c>
    </row>
    <row r="35" spans="1:18" x14ac:dyDescent="0.25">
      <c r="A35">
        <v>29</v>
      </c>
      <c r="B35" s="16" t="s">
        <v>20</v>
      </c>
      <c r="C35" s="14">
        <f>6186.58+1855.98</f>
        <v>8042.5599999999995</v>
      </c>
      <c r="D35" s="28">
        <v>1237.32</v>
      </c>
      <c r="E35" s="31"/>
      <c r="F35" s="31">
        <f>1237.32+6186.58+1855.98+3093.29</f>
        <v>12373.169999999998</v>
      </c>
      <c r="G35" s="31">
        <f>577.42+2887.07+866.12+1443.53</f>
        <v>5774.14</v>
      </c>
      <c r="H35" s="31"/>
      <c r="I35" s="32"/>
      <c r="J35" s="32"/>
      <c r="K35" s="12">
        <f t="shared" ref="K35:K40" si="15">SUM(C35:I35)</f>
        <v>27427.189999999995</v>
      </c>
      <c r="L35" s="3">
        <f>1609.46+2274.33</f>
        <v>3883.79</v>
      </c>
      <c r="M35" s="3">
        <v>828.38</v>
      </c>
      <c r="N35" s="2">
        <f t="shared" si="9"/>
        <v>15127.479999999992</v>
      </c>
      <c r="O35" s="2">
        <f t="shared" si="2"/>
        <v>19839.649999999994</v>
      </c>
      <c r="P35" s="18">
        <f t="shared" si="3"/>
        <v>7587.5400000000009</v>
      </c>
      <c r="Q35" s="24"/>
      <c r="R35" s="25">
        <v>7587.54</v>
      </c>
    </row>
    <row r="36" spans="1:18" x14ac:dyDescent="0.25">
      <c r="A36">
        <v>30</v>
      </c>
      <c r="B36" s="16" t="s">
        <v>60</v>
      </c>
      <c r="C36" s="14">
        <f>5179.07+745.79</f>
        <v>5924.86</v>
      </c>
      <c r="D36" s="28">
        <v>1035.81</v>
      </c>
      <c r="E36" s="31"/>
      <c r="F36" s="31"/>
      <c r="G36" s="31"/>
      <c r="H36" s="31"/>
      <c r="I36" s="32"/>
      <c r="J36" s="32"/>
      <c r="K36" s="12">
        <f t="shared" si="15"/>
        <v>6960.67</v>
      </c>
      <c r="L36" s="3">
        <v>821.89</v>
      </c>
      <c r="M36" s="3">
        <v>810.66</v>
      </c>
      <c r="N36" s="2">
        <f t="shared" si="9"/>
        <v>253.60999999999967</v>
      </c>
      <c r="O36" s="2">
        <f t="shared" si="2"/>
        <v>1886.1599999999996</v>
      </c>
      <c r="P36" s="18">
        <f t="shared" si="3"/>
        <v>5074.51</v>
      </c>
      <c r="Q36" s="24"/>
      <c r="R36" s="25">
        <v>5074.51</v>
      </c>
    </row>
    <row r="37" spans="1:18" x14ac:dyDescent="0.25">
      <c r="A37">
        <v>31</v>
      </c>
      <c r="B37" s="16" t="s">
        <v>21</v>
      </c>
      <c r="C37" s="14">
        <f>4903.8+470.76</f>
        <v>5374.56</v>
      </c>
      <c r="D37" s="28">
        <v>980.76</v>
      </c>
      <c r="E37" s="31"/>
      <c r="F37" s="31"/>
      <c r="G37" s="31"/>
      <c r="H37" s="31"/>
      <c r="I37" s="32"/>
      <c r="J37" s="32"/>
      <c r="K37" s="12">
        <f t="shared" si="15"/>
        <v>6355.3200000000006</v>
      </c>
      <c r="L37" s="3">
        <v>574.45000000000005</v>
      </c>
      <c r="M37" s="3">
        <v>725.92</v>
      </c>
      <c r="N37" s="2">
        <f t="shared" si="9"/>
        <v>1543.2300000000009</v>
      </c>
      <c r="O37" s="2">
        <f t="shared" si="2"/>
        <v>2843.6000000000008</v>
      </c>
      <c r="P37" s="18">
        <f>SUM(K37-O37)+H37</f>
        <v>3511.72</v>
      </c>
      <c r="Q37" s="24"/>
      <c r="R37" s="25">
        <v>3511.72</v>
      </c>
    </row>
    <row r="38" spans="1:18" x14ac:dyDescent="0.25">
      <c r="A38">
        <v>32</v>
      </c>
      <c r="B38" s="16" t="s">
        <v>57</v>
      </c>
      <c r="C38" s="14">
        <v>2096.52</v>
      </c>
      <c r="D38" s="28"/>
      <c r="E38" s="31"/>
      <c r="F38" s="31"/>
      <c r="G38" s="31"/>
      <c r="H38" s="31"/>
      <c r="I38" s="32"/>
      <c r="J38" s="32"/>
      <c r="K38" s="12">
        <f t="shared" si="15"/>
        <v>2096.52</v>
      </c>
      <c r="L38" s="3"/>
      <c r="M38" s="3">
        <v>170.5</v>
      </c>
      <c r="N38" s="2">
        <f t="shared" ref="N38" si="16">K38-L38-M38-R38</f>
        <v>16.349999999999909</v>
      </c>
      <c r="O38" s="2">
        <f t="shared" ref="O38" si="17">SUM(L38:N38)</f>
        <v>186.84999999999991</v>
      </c>
      <c r="P38" s="18">
        <f t="shared" ref="P38" si="18">SUM(K38-O38)</f>
        <v>1909.67</v>
      </c>
      <c r="Q38" s="24"/>
      <c r="R38" s="25">
        <v>1909.67</v>
      </c>
    </row>
    <row r="39" spans="1:18" x14ac:dyDescent="0.25">
      <c r="A39">
        <v>33</v>
      </c>
      <c r="B39" s="16" t="s">
        <v>22</v>
      </c>
      <c r="C39" s="14">
        <f>1462.01+175.44</f>
        <v>1637.45</v>
      </c>
      <c r="D39" s="28"/>
      <c r="E39" s="31"/>
      <c r="F39" s="31">
        <f>1462.01+175.44+545.82</f>
        <v>2183.27</v>
      </c>
      <c r="G39" s="31"/>
      <c r="H39" s="31"/>
      <c r="I39" s="32"/>
      <c r="J39" s="32"/>
      <c r="K39" s="12">
        <f t="shared" si="15"/>
        <v>3820.7200000000003</v>
      </c>
      <c r="L39" s="3"/>
      <c r="M39" s="3">
        <f>191.08+179.99</f>
        <v>371.07000000000005</v>
      </c>
      <c r="N39" s="2">
        <f t="shared" si="9"/>
        <v>3015.4700000000003</v>
      </c>
      <c r="O39" s="2">
        <f t="shared" si="2"/>
        <v>3386.5400000000004</v>
      </c>
      <c r="P39" s="18">
        <f t="shared" si="3"/>
        <v>434.17999999999984</v>
      </c>
      <c r="Q39" s="24"/>
      <c r="R39" s="25">
        <v>434.18</v>
      </c>
    </row>
    <row r="40" spans="1:18" x14ac:dyDescent="0.25">
      <c r="A40">
        <v>34</v>
      </c>
      <c r="B40" s="16" t="s">
        <v>23</v>
      </c>
      <c r="C40" s="14">
        <f>6186.58+1930.21</f>
        <v>8116.79</v>
      </c>
      <c r="D40" s="28">
        <v>1237.32</v>
      </c>
      <c r="E40" s="31"/>
      <c r="F40" s="31">
        <f>1237.32+6186.58+1930.21+3118.03</f>
        <v>12472.140000000001</v>
      </c>
      <c r="G40" s="31"/>
      <c r="H40" s="31"/>
      <c r="I40" s="32"/>
      <c r="J40" s="32"/>
      <c r="K40" s="12">
        <f t="shared" si="15"/>
        <v>21826.25</v>
      </c>
      <c r="L40" s="3">
        <f>1577.73+2249.41</f>
        <v>3827.14</v>
      </c>
      <c r="M40" s="3">
        <v>828.38</v>
      </c>
      <c r="N40" s="2">
        <f t="shared" si="9"/>
        <v>9550.23</v>
      </c>
      <c r="O40" s="2">
        <f t="shared" si="2"/>
        <v>14205.75</v>
      </c>
      <c r="P40" s="18">
        <f t="shared" si="3"/>
        <v>7620.5</v>
      </c>
      <c r="Q40" s="24"/>
      <c r="R40" s="25">
        <v>7620.5</v>
      </c>
    </row>
    <row r="41" spans="1:18" x14ac:dyDescent="0.25">
      <c r="A41">
        <v>35</v>
      </c>
      <c r="B41" s="38" t="s">
        <v>24</v>
      </c>
      <c r="C41" s="39">
        <v>2301.0500000000002</v>
      </c>
      <c r="D41" s="29"/>
      <c r="E41" s="40"/>
      <c r="F41" s="40"/>
      <c r="G41" s="40"/>
      <c r="H41" s="40"/>
      <c r="I41" s="37"/>
      <c r="J41" s="37"/>
      <c r="K41" s="41">
        <f t="shared" ref="K41:K49" si="19">SUM(C41:I41)</f>
        <v>2301.0500000000002</v>
      </c>
      <c r="L41" s="42">
        <v>15.61</v>
      </c>
      <c r="M41" s="42">
        <v>188.91</v>
      </c>
      <c r="N41" s="43">
        <f t="shared" ref="N41:N60" si="20">K41-L41-M41-R41</f>
        <v>430.4200000000003</v>
      </c>
      <c r="O41" s="43">
        <f t="shared" si="2"/>
        <v>634.94000000000028</v>
      </c>
      <c r="P41" s="44">
        <f t="shared" si="3"/>
        <v>1666.11</v>
      </c>
      <c r="Q41" s="24"/>
      <c r="R41" s="25">
        <v>1666.11</v>
      </c>
    </row>
    <row r="42" spans="1:18" x14ac:dyDescent="0.25">
      <c r="A42">
        <v>36</v>
      </c>
      <c r="B42" s="16" t="s">
        <v>25</v>
      </c>
      <c r="C42" s="14">
        <v>4532.01</v>
      </c>
      <c r="D42" s="28"/>
      <c r="E42" s="31"/>
      <c r="F42" s="31"/>
      <c r="G42" s="31"/>
      <c r="H42" s="31"/>
      <c r="I42" s="33"/>
      <c r="J42" s="33"/>
      <c r="K42" s="12">
        <f t="shared" si="19"/>
        <v>4532.01</v>
      </c>
      <c r="L42" s="3">
        <v>277.68</v>
      </c>
      <c r="M42" s="3">
        <v>470.65</v>
      </c>
      <c r="N42" s="2">
        <f t="shared" si="20"/>
        <v>485.17999999999984</v>
      </c>
      <c r="O42" s="2">
        <f t="shared" si="2"/>
        <v>1233.5099999999998</v>
      </c>
      <c r="P42" s="18">
        <f t="shared" si="3"/>
        <v>3298.5000000000005</v>
      </c>
      <c r="Q42" s="24"/>
      <c r="R42" s="25">
        <v>3298.5</v>
      </c>
    </row>
    <row r="43" spans="1:18" x14ac:dyDescent="0.25">
      <c r="A43">
        <v>37</v>
      </c>
      <c r="B43" s="16" t="s">
        <v>26</v>
      </c>
      <c r="C43" s="14">
        <f>3267.48+490.12</f>
        <v>3757.6</v>
      </c>
      <c r="D43" s="28"/>
      <c r="E43" s="31"/>
      <c r="F43" s="31">
        <f>4901.22+735.18+1878.8</f>
        <v>7515.2000000000007</v>
      </c>
      <c r="G43" s="31"/>
      <c r="H43" s="31"/>
      <c r="I43" s="33">
        <v>2031.46</v>
      </c>
      <c r="J43" s="33"/>
      <c r="K43" s="12">
        <f t="shared" si="19"/>
        <v>13304.260000000002</v>
      </c>
      <c r="L43" s="3">
        <f>649.48+938.39</f>
        <v>1587.87</v>
      </c>
      <c r="M43" s="3">
        <f>76.41+751.97</f>
        <v>828.38</v>
      </c>
      <c r="N43" s="2">
        <f t="shared" si="20"/>
        <v>6567.2900000000036</v>
      </c>
      <c r="O43" s="2">
        <f t="shared" si="2"/>
        <v>8983.5400000000045</v>
      </c>
      <c r="P43" s="18">
        <f t="shared" si="3"/>
        <v>4320.7199999999975</v>
      </c>
      <c r="Q43" s="24"/>
      <c r="R43" s="25">
        <v>4320.72</v>
      </c>
    </row>
    <row r="44" spans="1:18" x14ac:dyDescent="0.25">
      <c r="A44">
        <v>38</v>
      </c>
      <c r="B44" s="16" t="s">
        <v>27</v>
      </c>
      <c r="C44" s="14">
        <v>8433.84</v>
      </c>
      <c r="D44" s="28">
        <v>6000</v>
      </c>
      <c r="E44" s="31"/>
      <c r="F44" s="31"/>
      <c r="G44" s="31"/>
      <c r="H44" s="31"/>
      <c r="I44" s="33"/>
      <c r="J44" s="33"/>
      <c r="K44" s="12">
        <f t="shared" si="19"/>
        <v>14433.84</v>
      </c>
      <c r="L44" s="3">
        <v>2820</v>
      </c>
      <c r="M44" s="3">
        <v>828.38</v>
      </c>
      <c r="N44" s="2">
        <f>K44-L44-M44-R44</f>
        <v>950.97000000000116</v>
      </c>
      <c r="O44" s="2">
        <f>SUM(L44:N44)</f>
        <v>4599.3500000000013</v>
      </c>
      <c r="P44" s="18">
        <f t="shared" si="3"/>
        <v>9834.489999999998</v>
      </c>
      <c r="Q44" s="24"/>
      <c r="R44" s="25">
        <v>9834.49</v>
      </c>
    </row>
    <row r="45" spans="1:18" x14ac:dyDescent="0.25">
      <c r="A45">
        <v>39</v>
      </c>
      <c r="B45" s="16" t="s">
        <v>28</v>
      </c>
      <c r="C45" s="14">
        <f>5179.07+932.23</f>
        <v>6111.2999999999993</v>
      </c>
      <c r="D45" s="28">
        <v>1035.81</v>
      </c>
      <c r="E45" s="31"/>
      <c r="F45" s="31"/>
      <c r="G45" s="31"/>
      <c r="H45" s="31"/>
      <c r="I45" s="33"/>
      <c r="J45" s="33"/>
      <c r="K45" s="12">
        <f t="shared" si="19"/>
        <v>7147.1099999999988</v>
      </c>
      <c r="L45" s="3">
        <v>764.02</v>
      </c>
      <c r="M45" s="3">
        <v>828.38</v>
      </c>
      <c r="N45" s="2">
        <f t="shared" si="20"/>
        <v>477.36999999999807</v>
      </c>
      <c r="O45" s="2">
        <f t="shared" si="2"/>
        <v>2069.7699999999982</v>
      </c>
      <c r="P45" s="18">
        <f t="shared" si="3"/>
        <v>5077.34</v>
      </c>
      <c r="Q45" s="24"/>
      <c r="R45" s="25">
        <v>5077.34</v>
      </c>
    </row>
    <row r="46" spans="1:18" x14ac:dyDescent="0.25">
      <c r="A46">
        <v>40</v>
      </c>
      <c r="B46" s="16" t="s">
        <v>29</v>
      </c>
      <c r="C46" s="14">
        <v>7322.23</v>
      </c>
      <c r="D46" s="28"/>
      <c r="E46" s="31"/>
      <c r="F46" s="28"/>
      <c r="G46" s="31"/>
      <c r="H46" s="31"/>
      <c r="I46" s="33"/>
      <c r="J46" s="33"/>
      <c r="K46" s="12">
        <f t="shared" si="19"/>
        <v>7322.23</v>
      </c>
      <c r="L46" s="3">
        <v>864.31</v>
      </c>
      <c r="M46" s="3">
        <v>828.38</v>
      </c>
      <c r="N46" s="2">
        <f t="shared" si="20"/>
        <v>974.64999999999964</v>
      </c>
      <c r="O46" s="2">
        <f t="shared" si="2"/>
        <v>2667.3399999999997</v>
      </c>
      <c r="P46" s="18">
        <f>SUM(K46-O46)+H46</f>
        <v>4654.8899999999994</v>
      </c>
      <c r="Q46" s="24"/>
      <c r="R46" s="25">
        <v>4654.8900000000003</v>
      </c>
    </row>
    <row r="47" spans="1:18" x14ac:dyDescent="0.25">
      <c r="A47">
        <v>41</v>
      </c>
      <c r="B47" s="16" t="s">
        <v>30</v>
      </c>
      <c r="C47" s="14">
        <f>5179.07+745.79</f>
        <v>5924.86</v>
      </c>
      <c r="D47" s="28">
        <v>1035.81</v>
      </c>
      <c r="E47" s="31"/>
      <c r="F47" s="31"/>
      <c r="G47" s="31"/>
      <c r="H47" s="31"/>
      <c r="I47" s="33"/>
      <c r="J47" s="33"/>
      <c r="K47" s="12">
        <f t="shared" si="19"/>
        <v>6960.67</v>
      </c>
      <c r="L47" s="3">
        <v>769.76</v>
      </c>
      <c r="M47" s="3">
        <v>810.66</v>
      </c>
      <c r="N47" s="2">
        <f t="shared" si="20"/>
        <v>1519.1599999999999</v>
      </c>
      <c r="O47" s="2">
        <f t="shared" si="2"/>
        <v>3099.58</v>
      </c>
      <c r="P47" s="18">
        <f>SUM(K47-O47)+H47</f>
        <v>3861.09</v>
      </c>
      <c r="Q47" s="24"/>
      <c r="R47" s="25">
        <v>3861.09</v>
      </c>
    </row>
    <row r="48" spans="1:18" x14ac:dyDescent="0.25">
      <c r="A48">
        <v>42</v>
      </c>
      <c r="B48" s="16" t="s">
        <v>31</v>
      </c>
      <c r="C48" s="14">
        <v>4476.88</v>
      </c>
      <c r="D48" s="28"/>
      <c r="E48" s="31"/>
      <c r="F48" s="31"/>
      <c r="G48" s="31"/>
      <c r="H48" s="31"/>
      <c r="I48" s="33"/>
      <c r="J48" s="33"/>
      <c r="K48" s="12">
        <f t="shared" si="19"/>
        <v>4476.88</v>
      </c>
      <c r="L48" s="3">
        <v>190.42</v>
      </c>
      <c r="M48" s="3">
        <v>462.93</v>
      </c>
      <c r="N48" s="2">
        <f t="shared" si="20"/>
        <v>777.91000000000031</v>
      </c>
      <c r="O48" s="2">
        <f t="shared" si="2"/>
        <v>1431.2600000000002</v>
      </c>
      <c r="P48" s="18">
        <f t="shared" si="3"/>
        <v>3045.62</v>
      </c>
      <c r="Q48" s="24"/>
      <c r="R48" s="25">
        <v>3045.62</v>
      </c>
    </row>
    <row r="49" spans="1:18" x14ac:dyDescent="0.25">
      <c r="A49">
        <v>43</v>
      </c>
      <c r="B49" s="16" t="s">
        <v>63</v>
      </c>
      <c r="C49" s="14">
        <f>1813.26+145.06</f>
        <v>1958.32</v>
      </c>
      <c r="D49" s="28"/>
      <c r="E49" s="31"/>
      <c r="F49" s="31">
        <f>659.37+52.75+237.38</f>
        <v>949.5</v>
      </c>
      <c r="G49" s="31"/>
      <c r="H49" s="31"/>
      <c r="I49" s="33"/>
      <c r="J49" s="33"/>
      <c r="K49" s="12">
        <f t="shared" si="19"/>
        <v>2907.8199999999997</v>
      </c>
      <c r="L49" s="3"/>
      <c r="M49" s="3">
        <f>185.68+72.25</f>
        <v>257.93</v>
      </c>
      <c r="N49" s="2">
        <f t="shared" si="20"/>
        <v>883.7199999999998</v>
      </c>
      <c r="O49" s="2">
        <f t="shared" si="2"/>
        <v>1141.6499999999999</v>
      </c>
      <c r="P49" s="18">
        <f t="shared" si="3"/>
        <v>1766.1699999999998</v>
      </c>
      <c r="Q49" s="24"/>
      <c r="R49" s="25">
        <v>1766.17</v>
      </c>
    </row>
    <row r="50" spans="1:18" x14ac:dyDescent="0.25">
      <c r="A50">
        <v>44</v>
      </c>
      <c r="B50" s="16" t="s">
        <v>32</v>
      </c>
      <c r="C50" s="14">
        <f>5179.07+942.59</f>
        <v>6121.66</v>
      </c>
      <c r="D50" s="28">
        <v>2071.63</v>
      </c>
      <c r="E50" s="31"/>
      <c r="F50" s="31"/>
      <c r="G50" s="31"/>
      <c r="H50" s="31"/>
      <c r="I50" s="33"/>
      <c r="J50" s="33"/>
      <c r="K50" s="12">
        <f t="shared" ref="K50:K57" si="21">SUM(C50:I50)</f>
        <v>8193.2900000000009</v>
      </c>
      <c r="L50" s="3">
        <v>1103.8499999999999</v>
      </c>
      <c r="M50" s="3">
        <v>828.38</v>
      </c>
      <c r="N50" s="2">
        <f t="shared" si="20"/>
        <v>234.95000000000073</v>
      </c>
      <c r="O50" s="2">
        <f t="shared" si="2"/>
        <v>2167.1800000000007</v>
      </c>
      <c r="P50" s="18">
        <f t="shared" si="3"/>
        <v>6026.1100000000006</v>
      </c>
      <c r="Q50" s="24"/>
      <c r="R50" s="25">
        <v>6026.11</v>
      </c>
    </row>
    <row r="51" spans="1:18" x14ac:dyDescent="0.25">
      <c r="A51">
        <v>45</v>
      </c>
      <c r="B51" s="16" t="s">
        <v>33</v>
      </c>
      <c r="C51" s="14">
        <v>5844.91</v>
      </c>
      <c r="D51" s="28"/>
      <c r="E51" s="31"/>
      <c r="F51" s="31"/>
      <c r="G51" s="31"/>
      <c r="H51" s="31"/>
      <c r="I51" s="33"/>
      <c r="J51" s="33"/>
      <c r="K51" s="12">
        <f t="shared" si="21"/>
        <v>5844.91</v>
      </c>
      <c r="L51" s="3">
        <v>505.88</v>
      </c>
      <c r="M51" s="3">
        <v>654.46</v>
      </c>
      <c r="N51" s="2">
        <f t="shared" si="20"/>
        <v>849.76999999999953</v>
      </c>
      <c r="O51" s="2">
        <f t="shared" si="2"/>
        <v>2010.1099999999997</v>
      </c>
      <c r="P51" s="18">
        <f t="shared" si="3"/>
        <v>3834.8</v>
      </c>
      <c r="Q51" s="24"/>
      <c r="R51" s="25">
        <v>3834.8</v>
      </c>
    </row>
    <row r="52" spans="1:18" x14ac:dyDescent="0.25">
      <c r="A52">
        <v>46</v>
      </c>
      <c r="B52" s="16" t="s">
        <v>56</v>
      </c>
      <c r="C52" s="14">
        <v>2096.52</v>
      </c>
      <c r="D52" s="28"/>
      <c r="E52" s="31"/>
      <c r="F52" s="31"/>
      <c r="G52" s="31"/>
      <c r="H52" s="31"/>
      <c r="I52" s="33"/>
      <c r="J52" s="33"/>
      <c r="K52" s="12">
        <f t="shared" si="21"/>
        <v>2096.52</v>
      </c>
      <c r="L52" s="3"/>
      <c r="M52" s="3">
        <v>170.5</v>
      </c>
      <c r="N52" s="2">
        <f t="shared" ref="N52" si="22">K52-L52-M52-R52</f>
        <v>6.4700000000000273</v>
      </c>
      <c r="O52" s="2">
        <f t="shared" ref="O52" si="23">SUM(L52:N52)</f>
        <v>176.97000000000003</v>
      </c>
      <c r="P52" s="18">
        <f t="shared" ref="P52" si="24">SUM(K52-O52)</f>
        <v>1919.55</v>
      </c>
      <c r="Q52" s="24"/>
      <c r="R52" s="25">
        <v>1919.55</v>
      </c>
    </row>
    <row r="53" spans="1:18" x14ac:dyDescent="0.25">
      <c r="A53">
        <v>47</v>
      </c>
      <c r="B53" s="16" t="s">
        <v>34</v>
      </c>
      <c r="C53" s="14">
        <f>6186.58+2152.93</f>
        <v>8339.51</v>
      </c>
      <c r="D53" s="28">
        <v>1237.32</v>
      </c>
      <c r="E53" s="31"/>
      <c r="F53" s="31">
        <f>1237.32+6186.58+2152.93+3192.27</f>
        <v>12769.1</v>
      </c>
      <c r="G53" s="31"/>
      <c r="H53" s="31"/>
      <c r="I53" s="33"/>
      <c r="J53" s="33"/>
      <c r="K53" s="12">
        <f t="shared" si="21"/>
        <v>22345.93</v>
      </c>
      <c r="L53" s="3">
        <f>1743.26+2435.35</f>
        <v>4178.6099999999997</v>
      </c>
      <c r="M53" s="3">
        <v>828.38</v>
      </c>
      <c r="N53" s="2">
        <f t="shared" si="20"/>
        <v>9588.25</v>
      </c>
      <c r="O53" s="2">
        <f t="shared" si="2"/>
        <v>14595.24</v>
      </c>
      <c r="P53" s="18">
        <f>SUM(K53-O53)+H53</f>
        <v>7750.6900000000005</v>
      </c>
      <c r="Q53" s="24"/>
      <c r="R53" s="25">
        <v>7750.69</v>
      </c>
    </row>
    <row r="54" spans="1:18" x14ac:dyDescent="0.25">
      <c r="A54">
        <v>48</v>
      </c>
      <c r="B54" s="16" t="s">
        <v>35</v>
      </c>
      <c r="C54" s="14">
        <v>2398.5500000000002</v>
      </c>
      <c r="D54" s="28"/>
      <c r="E54" s="31"/>
      <c r="F54" s="31"/>
      <c r="G54" s="31"/>
      <c r="H54" s="31"/>
      <c r="I54" s="33"/>
      <c r="J54" s="33"/>
      <c r="K54" s="12">
        <f t="shared" si="21"/>
        <v>2398.5500000000002</v>
      </c>
      <c r="L54" s="3">
        <v>22.27</v>
      </c>
      <c r="M54" s="3">
        <v>197.68</v>
      </c>
      <c r="N54" s="2">
        <f t="shared" si="20"/>
        <v>41.650000000000546</v>
      </c>
      <c r="O54" s="2">
        <f t="shared" si="2"/>
        <v>261.60000000000059</v>
      </c>
      <c r="P54" s="18">
        <f t="shared" si="3"/>
        <v>2136.9499999999998</v>
      </c>
      <c r="Q54" s="24"/>
      <c r="R54" s="25">
        <v>2136.9499999999998</v>
      </c>
    </row>
    <row r="55" spans="1:18" x14ac:dyDescent="0.25">
      <c r="A55">
        <v>49</v>
      </c>
      <c r="B55" s="16" t="s">
        <v>78</v>
      </c>
      <c r="C55" s="14">
        <v>2819.57</v>
      </c>
      <c r="D55" s="28"/>
      <c r="E55" s="31"/>
      <c r="F55" s="31"/>
      <c r="G55" s="31"/>
      <c r="H55" s="31"/>
      <c r="I55" s="33"/>
      <c r="J55" s="33"/>
      <c r="K55" s="12">
        <f t="shared" si="21"/>
        <v>2819.57</v>
      </c>
      <c r="L55" s="3">
        <v>50.12</v>
      </c>
      <c r="M55" s="3">
        <v>247.34</v>
      </c>
      <c r="N55" s="2">
        <f t="shared" ref="N55" si="25">K55-L55-M55-R55</f>
        <v>573.61000000000013</v>
      </c>
      <c r="O55" s="2">
        <f t="shared" ref="O55" si="26">SUM(L55:N55)</f>
        <v>871.07000000000016</v>
      </c>
      <c r="P55" s="18">
        <f t="shared" ref="P55" si="27">SUM(K55-O55)</f>
        <v>1948.5</v>
      </c>
      <c r="Q55" s="24"/>
      <c r="R55" s="25">
        <v>1948.5</v>
      </c>
    </row>
    <row r="56" spans="1:18" x14ac:dyDescent="0.25">
      <c r="A56">
        <v>50</v>
      </c>
      <c r="B56" s="16" t="s">
        <v>36</v>
      </c>
      <c r="C56" s="14">
        <f>10737.77+4123.3</f>
        <v>14861.07</v>
      </c>
      <c r="D56" s="28">
        <v>2147.5500000000002</v>
      </c>
      <c r="E56" s="31"/>
      <c r="F56" s="31"/>
      <c r="G56" s="31"/>
      <c r="H56" s="31"/>
      <c r="I56" s="33"/>
      <c r="J56" s="33"/>
      <c r="K56" s="12">
        <f t="shared" si="21"/>
        <v>17008.62</v>
      </c>
      <c r="L56" s="3">
        <v>3528.07</v>
      </c>
      <c r="M56" s="3">
        <v>828.38</v>
      </c>
      <c r="N56" s="2">
        <f t="shared" si="20"/>
        <v>1680.5699999999997</v>
      </c>
      <c r="O56" s="2">
        <f t="shared" si="2"/>
        <v>6037.0199999999995</v>
      </c>
      <c r="P56" s="18">
        <f>SUM(K56-O56)+H56</f>
        <v>10971.599999999999</v>
      </c>
      <c r="Q56" s="24"/>
      <c r="R56" s="25">
        <v>10971.6</v>
      </c>
    </row>
    <row r="57" spans="1:18" x14ac:dyDescent="0.25">
      <c r="A57">
        <v>51</v>
      </c>
      <c r="B57" s="16" t="s">
        <v>37</v>
      </c>
      <c r="C57" s="14">
        <f>4132.11+1198.31</f>
        <v>5330.42</v>
      </c>
      <c r="D57" s="28"/>
      <c r="E57" s="31"/>
      <c r="F57" s="31"/>
      <c r="G57" s="31"/>
      <c r="H57" s="31"/>
      <c r="I57" s="33"/>
      <c r="J57" s="33"/>
      <c r="K57" s="12">
        <f t="shared" si="21"/>
        <v>5330.42</v>
      </c>
      <c r="L57" s="3">
        <v>389.51</v>
      </c>
      <c r="M57" s="3">
        <v>582.42999999999995</v>
      </c>
      <c r="N57" s="2">
        <f t="shared" si="20"/>
        <v>1776.5699999999997</v>
      </c>
      <c r="O57" s="2">
        <f t="shared" si="2"/>
        <v>2748.5099999999998</v>
      </c>
      <c r="P57" s="18">
        <f t="shared" si="3"/>
        <v>2581.9100000000003</v>
      </c>
      <c r="Q57" s="24"/>
      <c r="R57" s="25">
        <v>2581.91</v>
      </c>
    </row>
    <row r="58" spans="1:18" x14ac:dyDescent="0.25">
      <c r="A58">
        <v>52</v>
      </c>
      <c r="B58" s="16" t="s">
        <v>64</v>
      </c>
      <c r="C58" s="14">
        <v>4310.79</v>
      </c>
      <c r="D58" s="28"/>
      <c r="E58" s="31"/>
      <c r="F58" s="31"/>
      <c r="G58" s="31"/>
      <c r="H58" s="31"/>
      <c r="I58" s="33"/>
      <c r="J58" s="33"/>
      <c r="K58" s="12">
        <f>SUM(C58:I58)</f>
        <v>4310.79</v>
      </c>
      <c r="L58" s="3">
        <v>234.87</v>
      </c>
      <c r="M58" s="3">
        <v>439.68</v>
      </c>
      <c r="N58" s="2">
        <f t="shared" ref="N58" si="28">K58-L58-M58-R58</f>
        <v>1057.9000000000001</v>
      </c>
      <c r="O58" s="2">
        <f t="shared" ref="O58" si="29">SUM(L58:N58)</f>
        <v>1732.45</v>
      </c>
      <c r="P58" s="18">
        <f t="shared" ref="P58" si="30">SUM(K58-O58)</f>
        <v>2578.34</v>
      </c>
      <c r="Q58" s="24"/>
      <c r="R58" s="25">
        <v>2578.34</v>
      </c>
    </row>
    <row r="59" spans="1:18" x14ac:dyDescent="0.25">
      <c r="A59">
        <v>53</v>
      </c>
      <c r="B59" s="16" t="s">
        <v>62</v>
      </c>
      <c r="C59" s="14">
        <v>1982.4</v>
      </c>
      <c r="D59" s="28"/>
      <c r="E59" s="31"/>
      <c r="F59" s="31"/>
      <c r="G59" s="31"/>
      <c r="H59" s="31"/>
      <c r="I59" s="33"/>
      <c r="J59" s="33"/>
      <c r="K59" s="12">
        <f>SUM(C59:I59)</f>
        <v>1982.4</v>
      </c>
      <c r="L59" s="3"/>
      <c r="M59" s="3">
        <v>160.22999999999999</v>
      </c>
      <c r="N59" s="2">
        <f t="shared" ref="N59" si="31">K59-L59-M59-R59</f>
        <v>143.03999999999996</v>
      </c>
      <c r="O59" s="2">
        <f t="shared" ref="O59" si="32">SUM(L59:N59)</f>
        <v>303.27</v>
      </c>
      <c r="P59" s="18">
        <f t="shared" ref="P59" si="33">SUM(K59-O59)</f>
        <v>1679.13</v>
      </c>
      <c r="Q59" s="24"/>
      <c r="R59" s="25">
        <v>1679.13</v>
      </c>
    </row>
    <row r="60" spans="1:18" ht="15.75" thickBot="1" x14ac:dyDescent="0.3">
      <c r="A60">
        <v>54</v>
      </c>
      <c r="B60" s="17" t="s">
        <v>38</v>
      </c>
      <c r="C60" s="15">
        <f>8051.39+1256.02</f>
        <v>9307.41</v>
      </c>
      <c r="D60" s="30">
        <v>1610.28</v>
      </c>
      <c r="E60" s="34"/>
      <c r="F60" s="34">
        <f>55.53+277.63+43.31+125.49</f>
        <v>501.96</v>
      </c>
      <c r="G60" s="34"/>
      <c r="H60" s="34"/>
      <c r="I60" s="35">
        <v>2031.45</v>
      </c>
      <c r="J60" s="35"/>
      <c r="K60" s="13">
        <f>SUM(C60:J60)</f>
        <v>13451.1</v>
      </c>
      <c r="L60" s="10">
        <f>2423.73+14.82</f>
        <v>2438.5500000000002</v>
      </c>
      <c r="M60" s="10">
        <f>784.67+43.71</f>
        <v>828.38</v>
      </c>
      <c r="N60" s="11">
        <f t="shared" si="20"/>
        <v>512.29999999999927</v>
      </c>
      <c r="O60" s="11">
        <f t="shared" si="2"/>
        <v>3779.2299999999996</v>
      </c>
      <c r="P60" s="19">
        <f t="shared" si="3"/>
        <v>9671.8700000000008</v>
      </c>
      <c r="Q60" s="24"/>
      <c r="R60" s="25">
        <v>9671.8700000000008</v>
      </c>
    </row>
    <row r="61" spans="1:18" ht="15.75" thickBot="1" x14ac:dyDescent="0.3"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</row>
    <row r="62" spans="1:18" x14ac:dyDescent="0.25">
      <c r="B62" s="50" t="s">
        <v>80</v>
      </c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2"/>
    </row>
    <row r="63" spans="1:18" x14ac:dyDescent="0.25">
      <c r="B63" s="54" t="s">
        <v>81</v>
      </c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6"/>
    </row>
    <row r="64" spans="1:18" ht="5.25" customHeight="1" x14ac:dyDescent="0.25">
      <c r="B64" s="70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2"/>
    </row>
    <row r="65" spans="2:16" x14ac:dyDescent="0.25">
      <c r="B65" s="73" t="s">
        <v>73</v>
      </c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5"/>
    </row>
    <row r="66" spans="2:16" x14ac:dyDescent="0.25">
      <c r="B66" s="76" t="s">
        <v>70</v>
      </c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8"/>
    </row>
    <row r="67" spans="2:16" x14ac:dyDescent="0.25">
      <c r="B67" s="76" t="s">
        <v>71</v>
      </c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8"/>
    </row>
    <row r="68" spans="2:16" x14ac:dyDescent="0.25">
      <c r="B68" s="76" t="s">
        <v>72</v>
      </c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8"/>
    </row>
    <row r="69" spans="2:16" ht="15.75" thickBot="1" x14ac:dyDescent="0.3">
      <c r="B69" s="67" t="s">
        <v>82</v>
      </c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9"/>
    </row>
    <row r="70" spans="2:16" x14ac:dyDescent="0.25"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</row>
    <row r="71" spans="2:16" x14ac:dyDescent="0.25">
      <c r="B71" s="6"/>
      <c r="C71" s="5"/>
      <c r="D71" s="27"/>
      <c r="E71" s="5"/>
      <c r="F71" s="27"/>
      <c r="G71" s="27"/>
      <c r="H71" s="5"/>
      <c r="I71" s="5"/>
      <c r="J71" s="27"/>
      <c r="K71" s="5"/>
      <c r="L71" s="5"/>
      <c r="M71" s="5"/>
      <c r="N71" s="5"/>
      <c r="O71" s="5"/>
      <c r="P71" s="5"/>
    </row>
    <row r="72" spans="2:16" x14ac:dyDescent="0.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</sheetData>
  <sheetProtection algorithmName="SHA-512" hashValue="AMCzSH+rnV57sgW4ffMO4AfNmcHNwEThFer86HW+YucZiwpn/0NWVLNmV0fHZDBGFef7PutcpTqbKMH3fUJ88w==" saltValue="m0zrryU3g8Kz7NkVJAEzbw==" spinCount="100000" sheet="1" objects="1" scenarios="1"/>
  <mergeCells count="19">
    <mergeCell ref="B69:P69"/>
    <mergeCell ref="B64:P64"/>
    <mergeCell ref="B65:P65"/>
    <mergeCell ref="B66:P66"/>
    <mergeCell ref="B68:P68"/>
    <mergeCell ref="B67:P67"/>
    <mergeCell ref="B62:P62"/>
    <mergeCell ref="B61:P61"/>
    <mergeCell ref="B63:P63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</mergeCells>
  <pageMargins left="0.23622047244094491" right="3.937007874015748E-2" top="0.19685039370078741" bottom="0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</cp:lastModifiedBy>
  <cp:lastPrinted>2022-02-04T18:55:41Z</cp:lastPrinted>
  <dcterms:created xsi:type="dcterms:W3CDTF">2016-04-28T12:49:34Z</dcterms:created>
  <dcterms:modified xsi:type="dcterms:W3CDTF">2022-02-04T19:21:44Z</dcterms:modified>
</cp:coreProperties>
</file>