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1 - JANEIRO\"/>
    </mc:Choice>
  </mc:AlternateContent>
  <xr:revisionPtr revIDLastSave="0" documentId="8_{B8C68B0E-212F-48C4-8031-C4E3BAA07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6" l="1"/>
  <c r="K56" i="6"/>
  <c r="E56" i="6"/>
  <c r="B56" i="6"/>
  <c r="B52" i="6"/>
  <c r="K50" i="6"/>
  <c r="J50" i="6"/>
  <c r="E50" i="6"/>
  <c r="B50" i="6"/>
  <c r="K49" i="6"/>
  <c r="J49" i="6"/>
  <c r="F49" i="6"/>
  <c r="E49" i="6"/>
  <c r="B49" i="6"/>
  <c r="K48" i="6"/>
  <c r="J48" i="6"/>
  <c r="E48" i="6"/>
  <c r="B48" i="6"/>
  <c r="K42" i="6"/>
  <c r="F42" i="6"/>
  <c r="E42" i="6"/>
  <c r="B42" i="6"/>
  <c r="K40" i="6"/>
  <c r="J40" i="6"/>
  <c r="E40" i="6"/>
  <c r="B40" i="6"/>
  <c r="B39" i="6"/>
  <c r="K34" i="6"/>
  <c r="E34" i="6"/>
  <c r="B34" i="6"/>
  <c r="K32" i="6"/>
  <c r="F32" i="6"/>
  <c r="E32" i="6"/>
  <c r="B32" i="6"/>
  <c r="B31" i="6"/>
  <c r="K29" i="6"/>
  <c r="J29" i="6"/>
  <c r="E29" i="6"/>
  <c r="B29" i="6"/>
  <c r="K24" i="6"/>
  <c r="J24" i="6"/>
  <c r="F24" i="6"/>
  <c r="E24" i="6"/>
  <c r="B24" i="6"/>
  <c r="K21" i="6"/>
  <c r="E21" i="6"/>
  <c r="B21" i="6"/>
  <c r="K20" i="6"/>
  <c r="J20" i="6"/>
  <c r="E20" i="6"/>
  <c r="B20" i="6"/>
  <c r="K19" i="6"/>
  <c r="E19" i="6"/>
  <c r="B19" i="6"/>
  <c r="K14" i="6"/>
  <c r="J14" i="6"/>
  <c r="F14" i="6"/>
  <c r="E14" i="6"/>
  <c r="C14" i="6"/>
  <c r="B14" i="6"/>
  <c r="K11" i="6"/>
  <c r="E11" i="6"/>
  <c r="B11" i="6"/>
  <c r="K8" i="6"/>
  <c r="J8" i="6"/>
  <c r="E8" i="6"/>
  <c r="B8" i="6"/>
  <c r="B66" i="6" l="1"/>
  <c r="I25" i="6"/>
  <c r="L25" i="6" s="1"/>
  <c r="M25" i="6" s="1"/>
  <c r="N25" i="6" s="1"/>
  <c r="B36" i="6" l="1"/>
  <c r="B27" i="6"/>
  <c r="B59" i="6" l="1"/>
  <c r="B43" i="6"/>
  <c r="B38" i="6"/>
  <c r="B37" i="6"/>
  <c r="B23" i="6"/>
  <c r="B65" i="6" l="1"/>
  <c r="B55" i="6"/>
  <c r="B22" i="6"/>
  <c r="B16" i="6" l="1"/>
  <c r="B7" i="6"/>
  <c r="I63" i="6" l="1"/>
  <c r="I59" i="6"/>
  <c r="I55" i="6"/>
  <c r="I50" i="6"/>
  <c r="I49" i="6"/>
  <c r="I47" i="6"/>
  <c r="I38" i="6"/>
  <c r="I33" i="6"/>
  <c r="I66" i="6"/>
  <c r="I48" i="6"/>
  <c r="I51" i="6"/>
  <c r="I53" i="6"/>
  <c r="I54" i="6"/>
  <c r="I56" i="6"/>
  <c r="I57" i="6"/>
  <c r="I58" i="6"/>
  <c r="I60" i="6"/>
  <c r="I61" i="6"/>
  <c r="I62" i="6"/>
  <c r="I64" i="6"/>
  <c r="I65" i="6"/>
  <c r="I46" i="6"/>
  <c r="I43" i="6"/>
  <c r="I32" i="6"/>
  <c r="I34" i="6"/>
  <c r="I35" i="6"/>
  <c r="I36" i="6"/>
  <c r="I37" i="6"/>
  <c r="I39" i="6"/>
  <c r="I40" i="6"/>
  <c r="I41" i="6"/>
  <c r="I42" i="6"/>
  <c r="I9" i="6"/>
  <c r="I10" i="6"/>
  <c r="I11" i="6"/>
  <c r="I12" i="6"/>
  <c r="I13" i="6"/>
  <c r="I15" i="6"/>
  <c r="I16" i="6"/>
  <c r="I17" i="6"/>
  <c r="I18" i="6"/>
  <c r="I19" i="6"/>
  <c r="I20" i="6"/>
  <c r="I21" i="6"/>
  <c r="I22" i="6"/>
  <c r="I23" i="6"/>
  <c r="I24" i="6"/>
  <c r="I26" i="6"/>
  <c r="I27" i="6"/>
  <c r="I28" i="6"/>
  <c r="I29" i="6"/>
  <c r="I30" i="6"/>
  <c r="I31" i="6"/>
  <c r="I8" i="6"/>
  <c r="I7" i="6"/>
  <c r="B15" i="6"/>
  <c r="I52" i="6" l="1"/>
  <c r="I14" i="6"/>
  <c r="L64" i="6" l="1"/>
  <c r="M64" i="6" s="1"/>
  <c r="N64" i="6" s="1"/>
  <c r="L65" i="6" l="1"/>
  <c r="M65" i="6" s="1"/>
  <c r="N65" i="6" s="1"/>
  <c r="L10" i="6" l="1"/>
  <c r="M10" i="6" s="1"/>
  <c r="N10" i="6" s="1"/>
  <c r="L19" i="6" l="1"/>
  <c r="M19" i="6" s="1"/>
  <c r="N19" i="6" s="1"/>
  <c r="L34" i="6" l="1"/>
  <c r="M34" i="6" s="1"/>
  <c r="N34" i="6" s="1"/>
  <c r="L11" i="6" l="1"/>
  <c r="M11" i="6" s="1"/>
  <c r="N11" i="6" s="1"/>
  <c r="L41" i="6" l="1"/>
  <c r="M41" i="6" s="1"/>
  <c r="N41" i="6" s="1"/>
  <c r="L58" i="6" l="1"/>
  <c r="M58" i="6" s="1"/>
  <c r="N58" i="6" s="1"/>
  <c r="L26" i="6"/>
  <c r="M26" i="6" s="1"/>
  <c r="N26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L57" i="6"/>
  <c r="M57" i="6" s="1"/>
  <c r="N57" i="6" s="1"/>
  <c r="L56" i="6"/>
  <c r="M56" i="6" s="1"/>
  <c r="N56" i="6" s="1"/>
  <c r="L55" i="6"/>
  <c r="M55" i="6" s="1"/>
  <c r="L54" i="6"/>
  <c r="M54" i="6" s="1"/>
  <c r="L53" i="6"/>
  <c r="M53" i="6" s="1"/>
  <c r="L50" i="6"/>
  <c r="M50" i="6" s="1"/>
  <c r="L49" i="6"/>
  <c r="M49" i="6" s="1"/>
  <c r="L48" i="6"/>
  <c r="M48" i="6" s="1"/>
  <c r="N48" i="6" s="1"/>
  <c r="L43" i="6"/>
  <c r="M43" i="6" s="1"/>
  <c r="N43" i="6" s="1"/>
  <c r="L39" i="6"/>
  <c r="M39" i="6" s="1"/>
  <c r="N39" i="6" s="1"/>
  <c r="L38" i="6"/>
  <c r="M38" i="6" s="1"/>
  <c r="N38" i="6" s="1"/>
  <c r="L36" i="6"/>
  <c r="M36" i="6" s="1"/>
  <c r="N36" i="6" s="1"/>
  <c r="L33" i="6"/>
  <c r="M33" i="6" s="1"/>
  <c r="N33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7" i="6"/>
  <c r="M27" i="6" s="1"/>
  <c r="N27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7" i="6" l="1"/>
  <c r="M47" i="6" s="1"/>
  <c r="N47" i="6" s="1"/>
  <c r="L9" i="6"/>
  <c r="L62" i="6"/>
  <c r="M62" i="6" s="1"/>
  <c r="N62" i="6" s="1"/>
  <c r="L17" i="6"/>
  <c r="M17" i="6" s="1"/>
  <c r="N17" i="6" s="1"/>
  <c r="L59" i="6"/>
  <c r="M59" i="6" s="1"/>
  <c r="N59" i="6" s="1"/>
  <c r="L51" i="6"/>
  <c r="M51" i="6" s="1"/>
  <c r="N51" i="6" s="1"/>
  <c r="L52" i="6"/>
  <c r="M52" i="6" s="1"/>
  <c r="N52" i="6" s="1"/>
  <c r="L61" i="6"/>
  <c r="M61" i="6" s="1"/>
  <c r="N61" i="6" s="1"/>
  <c r="L12" i="6"/>
  <c r="M12" i="6" s="1"/>
  <c r="N12" i="6" s="1"/>
  <c r="L35" i="6"/>
  <c r="M35" i="6" s="1"/>
  <c r="N35" i="6" s="1"/>
  <c r="L28" i="6"/>
  <c r="M28" i="6" s="1"/>
  <c r="N28" i="6" s="1"/>
  <c r="L40" i="6"/>
  <c r="M40" i="6" s="1"/>
  <c r="N40" i="6" s="1"/>
  <c r="L37" i="6"/>
  <c r="M37" i="6" s="1"/>
  <c r="N37" i="6" s="1"/>
  <c r="L46" i="6"/>
  <c r="M46" i="6" s="1"/>
  <c r="N46" i="6" s="1"/>
  <c r="L21" i="6"/>
  <c r="M21" i="6" s="1"/>
  <c r="N21" i="6" s="1"/>
  <c r="L18" i="6"/>
  <c r="M18" i="6" s="1"/>
  <c r="N18" i="6" s="1"/>
  <c r="L14" i="6"/>
  <c r="M14" i="6" s="1"/>
  <c r="N14" i="6" s="1"/>
  <c r="N55" i="6"/>
  <c r="N50" i="6"/>
  <c r="N49" i="6"/>
  <c r="N53" i="6"/>
  <c r="L42" i="6"/>
  <c r="M42" i="6" s="1"/>
  <c r="N42" i="6" s="1"/>
  <c r="N54" i="6"/>
  <c r="N60" i="6"/>
  <c r="M9" i="6" l="1"/>
  <c r="N9" i="6" l="1"/>
</calcChain>
</file>

<file path=xl/sharedStrings.xml><?xml version="1.0" encoding="utf-8"?>
<sst xmlns="http://schemas.openxmlformats.org/spreadsheetml/2006/main" count="110" uniqueCount="87">
  <si>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</si>
  <si>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</si>
  <si>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</si>
  <si>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</si>
  <si>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</si>
  <si>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</si>
  <si>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</si>
  <si>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</si>
  <si>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</si>
  <si>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</si>
  <si>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</si>
  <si>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</si>
  <si>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</si>
  <si>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</si>
  <si>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</si>
  <si>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</si>
  <si>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</si>
  <si>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</si>
  <si>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</si>
  <si>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</si>
  <si>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</si>
  <si>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</si>
  <si>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</si>
  <si>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</si>
  <si>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</si>
  <si>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</si>
  <si>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</si>
  <si>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</si>
  <si>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</si>
  <si>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</si>
  <si>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</si>
  <si>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</si>
  <si>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</si>
  <si>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</si>
  <si>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</si>
  <si>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</si>
  <si>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</si>
  <si>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</si>
  <si>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</si>
  <si>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</si>
  <si>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</si>
  <si>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</si>
  <si>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</si>
  <si>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</si>
  <si>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</si>
  <si>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</si>
  <si>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</si>
  <si>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</si>
  <si>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</si>
  <si>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</si>
  <si>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</si>
  <si>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</si>
  <si>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</si>
  <si>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</si>
  <si>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</si>
  <si>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</si>
  <si>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</si>
  <si>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</si>
  <si>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</si>
  <si>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</si>
  <si>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</si>
  <si>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</si>
  <si>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</si>
  <si>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</si>
  <si>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</si>
  <si>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</si>
  <si>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</si>
  <si>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</si>
  <si>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</si>
  <si>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</si>
  <si>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</si>
  <si>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</si>
  <si>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</si>
  <si>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</si>
  <si>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</si>
  <si>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</si>
  <si>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</si>
  <si>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</si>
  <si>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</si>
  <si>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</si>
  <si>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</si>
  <si>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</si>
  <si>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</si>
  <si>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</si>
  <si>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</si>
  <si>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GUSTAVO ELIAS MUENZ</t>
  </si>
  <si>
    <t>JANEIRO/2021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</si>
</sst>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164" fontId="0" fillId="0" borderId="3" xfId="0" applyNumberFormat="1" applyFill="1" applyBorder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164" fontId="0" fillId="0" borderId="16" xfId="0" applyNumberFormat="1" applyFill="1" applyBorder="1"/>
    <xf numFmtId="164" fontId="1" fillId="4" borderId="17" xfId="0" applyNumberFormat="1" applyFont="1" applyFill="1" applyBorder="1"/>
    <xf numFmtId="164" fontId="1" fillId="4" borderId="5" xfId="0" applyNumberFormat="1" applyFont="1" applyFill="1" applyBorder="1"/>
    <xf numFmtId="164" fontId="1" fillId="4" borderId="6" xfId="0" applyNumberFormat="1" applyFont="1" applyFill="1" applyBorder="1"/>
    <xf numFmtId="164" fontId="1" fillId="4" borderId="17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4" borderId="6" xfId="0" applyNumberFormat="1" applyFont="1" applyFill="1" applyBorder="1" applyProtection="1">
      <protection locked="0"/>
    </xf>
    <xf numFmtId="164" fontId="1" fillId="4" borderId="4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0" fontId="0" fillId="0" borderId="12" xfId="0" applyBorder="1"/>
    <xf numFmtId="0" fontId="0" fillId="0" borderId="18" xfId="0" applyBorder="1"/>
    <xf numFmtId="0" fontId="0" fillId="0" borderId="19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164" fontId="1" fillId="2" borderId="22" xfId="0" applyNumberFormat="1" applyFont="1" applyFill="1" applyBorder="1"/>
    <xf numFmtId="164" fontId="1" fillId="2" borderId="23" xfId="0" applyNumberFormat="1" applyFont="1" applyFill="1" applyBorder="1"/>
    <xf numFmtId="0" fontId="1" fillId="3" borderId="17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6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" fillId="0" borderId="16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6" xfId="0" applyNumberFormat="1" applyFont="1" applyBorder="1" applyProtection="1">
      <protection locked="0"/>
    </xf>
    <xf numFmtId="164" fontId="1" fillId="0" borderId="16" xfId="0" applyNumberFormat="1" applyFont="1" applyBorder="1" applyAlignment="1" applyProtection="1">
      <alignment horizontal="right"/>
      <protection locked="0"/>
    </xf>
    <xf numFmtId="49" fontId="8" fillId="2" borderId="9" xfId="0" applyNumberFormat="1" applyFont="1" applyFill="1" applyBorder="1" applyAlignment="1"/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5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4" borderId="12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13" sqref="R13"/>
    </sheetView>
  </sheetViews>
  <sheetFormatPr defaultRowHeight="15" outlineLevelCol="1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hidden="1" customWidth="1" outlineLevel="1"/>
    <col min="17" max="17" width="9.140625" collapsed="1"/>
  </cols>
  <sheetData>
    <row r="1" spans="1:17" ht="16.5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ht="16.5" x14ac:dyDescent="0.25">
      <c r="A2" s="86" t="s">
        <v>58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ht="4.5" customHeight="1" thickBo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7" ht="19.5" thickBot="1" x14ac:dyDescent="0.35">
      <c r="A4" s="56" t="s">
        <v>86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7" x14ac:dyDescent="0.25">
      <c r="A5" s="63" t="s">
        <v>56</v>
      </c>
      <c r="B5" s="65" t="s">
        <v>46</v>
      </c>
      <c r="C5" s="72" t="s">
        <v>73</v>
      </c>
      <c r="D5" s="69" t="s">
        <v>47</v>
      </c>
      <c r="E5" s="69" t="s">
        <v>74</v>
      </c>
      <c r="F5" s="38" t="s">
        <v>75</v>
      </c>
      <c r="G5" s="42" t="s">
        <v>77</v>
      </c>
      <c r="H5" s="11" t="s">
        <v>59</v>
      </c>
      <c r="I5" s="30" t="s">
        <v>48</v>
      </c>
      <c r="J5" s="69" t="s">
        <v>50</v>
      </c>
      <c r="K5" s="69" t="s">
        <v>51</v>
      </c>
      <c r="L5" s="11" t="s">
        <v>52</v>
      </c>
      <c r="M5" s="11" t="s">
        <v>54</v>
      </c>
      <c r="N5" s="32" t="s">
        <v>48</v>
      </c>
    </row>
    <row r="6" spans="1:17" ht="15.75" thickBot="1" x14ac:dyDescent="0.3">
      <c r="A6" s="64"/>
      <c r="B6" s="66"/>
      <c r="C6" s="73"/>
      <c r="D6" s="70"/>
      <c r="E6" s="70"/>
      <c r="F6" s="41" t="s">
        <v>76</v>
      </c>
      <c r="G6" s="43" t="s">
        <v>61</v>
      </c>
      <c r="H6" s="12" t="s">
        <v>60</v>
      </c>
      <c r="I6" s="31" t="s">
        <v>49</v>
      </c>
      <c r="J6" s="70"/>
      <c r="K6" s="70"/>
      <c r="L6" s="12" t="s">
        <v>53</v>
      </c>
      <c r="M6" s="12" t="s">
        <v>53</v>
      </c>
      <c r="N6" s="33" t="s">
        <v>55</v>
      </c>
    </row>
    <row r="7" spans="1:17" x14ac:dyDescent="0.25">
      <c r="A7" s="23" t="s">
        <v>0</v>
      </c>
      <c r="B7" s="18">
        <f>10382.27+5087.31</f>
        <v>15469.580000000002</v>
      </c>
      <c r="C7" s="44">
        <v>4152.91</v>
      </c>
      <c r="D7" s="49"/>
      <c r="E7" s="49"/>
      <c r="F7" s="49"/>
      <c r="G7" s="49"/>
      <c r="H7" s="50"/>
      <c r="I7" s="15">
        <f>SUM(B7:H7)</f>
        <v>19622.490000000002</v>
      </c>
      <c r="J7" s="4">
        <v>4267.8999999999996</v>
      </c>
      <c r="K7" s="4">
        <v>751.97</v>
      </c>
      <c r="L7" s="3">
        <f t="shared" ref="L7:L13" si="0">I7-J7-K7-P7</f>
        <v>814.94000000000233</v>
      </c>
      <c r="M7" s="2">
        <f>SUM(J7:L7)</f>
        <v>5834.8100000000022</v>
      </c>
      <c r="N7" s="26">
        <f>SUM(I7-M7)</f>
        <v>13787.68</v>
      </c>
      <c r="O7" s="34"/>
      <c r="P7" s="35">
        <v>13787.68</v>
      </c>
    </row>
    <row r="8" spans="1:17" x14ac:dyDescent="0.25">
      <c r="A8" s="24" t="s">
        <v>1</v>
      </c>
      <c r="B8" s="19">
        <f>3202.11+192.13</f>
        <v>3394.2400000000002</v>
      </c>
      <c r="C8" s="45"/>
      <c r="D8" s="51"/>
      <c r="E8" s="51">
        <f>1853.86+111.23+655.03</f>
        <v>2620.12</v>
      </c>
      <c r="F8" s="51"/>
      <c r="G8" s="51"/>
      <c r="H8" s="52"/>
      <c r="I8" s="16">
        <f>SUM(B8:H8)</f>
        <v>6014.3600000000006</v>
      </c>
      <c r="J8" s="5">
        <f>85.75+36.01</f>
        <v>121.75999999999999</v>
      </c>
      <c r="K8" s="5">
        <f>457.24+236.04</f>
        <v>693.28</v>
      </c>
      <c r="L8" s="3">
        <f t="shared" si="0"/>
        <v>2389.1300000000006</v>
      </c>
      <c r="M8" s="3">
        <f t="shared" ref="M8:M66" si="1">SUM(J8:L8)</f>
        <v>3204.1700000000005</v>
      </c>
      <c r="N8" s="27">
        <f t="shared" ref="N8:N66" si="2">SUM(I8-M8)</f>
        <v>2810.19</v>
      </c>
      <c r="O8" s="34"/>
      <c r="P8" s="35">
        <v>2810.19</v>
      </c>
    </row>
    <row r="9" spans="1:17" x14ac:dyDescent="0.25">
      <c r="A9" s="24" t="s">
        <v>2</v>
      </c>
      <c r="B9" s="19">
        <v>2458.8200000000002</v>
      </c>
      <c r="C9" s="45"/>
      <c r="D9" s="51"/>
      <c r="E9" s="51"/>
      <c r="F9" s="51"/>
      <c r="G9" s="51"/>
      <c r="H9" s="52"/>
      <c r="I9" s="16">
        <f t="shared" ref="I9:I42" si="3">SUM(B9:H9)</f>
        <v>2458.8200000000002</v>
      </c>
      <c r="J9" s="5"/>
      <c r="K9" s="5">
        <v>212.45</v>
      </c>
      <c r="L9" s="3">
        <f t="shared" si="0"/>
        <v>1193.1300000000003</v>
      </c>
      <c r="M9" s="3">
        <f t="shared" si="1"/>
        <v>1405.5800000000004</v>
      </c>
      <c r="N9" s="27">
        <f t="shared" si="2"/>
        <v>1053.2399999999998</v>
      </c>
      <c r="O9" s="34"/>
      <c r="P9" s="35">
        <v>1053.24</v>
      </c>
    </row>
    <row r="10" spans="1:17" x14ac:dyDescent="0.25">
      <c r="A10" s="24" t="s">
        <v>69</v>
      </c>
      <c r="B10" s="19">
        <v>4271.97</v>
      </c>
      <c r="C10" s="45"/>
      <c r="D10" s="51"/>
      <c r="E10" s="51"/>
      <c r="F10" s="51"/>
      <c r="G10" s="51"/>
      <c r="H10" s="52"/>
      <c r="I10" s="16">
        <f t="shared" si="3"/>
        <v>4271.97</v>
      </c>
      <c r="J10" s="5">
        <v>223.96</v>
      </c>
      <c r="K10" s="5">
        <v>449.35</v>
      </c>
      <c r="L10" s="3">
        <f t="shared" ref="L10" si="4">I10-J10-K10-P10</f>
        <v>41.0600000000004</v>
      </c>
      <c r="M10" s="3">
        <f t="shared" ref="M10" si="5">SUM(J10:L10)</f>
        <v>714.37000000000046</v>
      </c>
      <c r="N10" s="27">
        <f t="shared" ref="N10" si="6">SUM(I10-M10)</f>
        <v>3557.6</v>
      </c>
      <c r="O10" s="34"/>
      <c r="P10" s="35">
        <v>3557.6</v>
      </c>
    </row>
    <row r="11" spans="1:17" x14ac:dyDescent="0.25">
      <c r="A11" s="24" t="s">
        <v>65</v>
      </c>
      <c r="B11" s="19">
        <f>730.54+22.61</f>
        <v>753.15</v>
      </c>
      <c r="C11" s="45">
        <v>400</v>
      </c>
      <c r="D11" s="51"/>
      <c r="E11" s="51">
        <f>600+1095.81+33.92+576.58</f>
        <v>2306.31</v>
      </c>
      <c r="F11" s="51"/>
      <c r="G11" s="51"/>
      <c r="H11" s="52"/>
      <c r="I11" s="16">
        <f t="shared" si="3"/>
        <v>3459.46</v>
      </c>
      <c r="J11" s="5">
        <v>15.29</v>
      </c>
      <c r="K11" s="5">
        <f>137.22+198.38</f>
        <v>335.6</v>
      </c>
      <c r="L11" s="3">
        <f t="shared" si="0"/>
        <v>2189.4300000000003</v>
      </c>
      <c r="M11" s="3">
        <f t="shared" si="1"/>
        <v>2540.3200000000002</v>
      </c>
      <c r="N11" s="27">
        <f t="shared" si="2"/>
        <v>919.13999999999987</v>
      </c>
      <c r="O11" s="34"/>
      <c r="P11" s="35">
        <v>919.14</v>
      </c>
    </row>
    <row r="12" spans="1:17" x14ac:dyDescent="0.25">
      <c r="A12" s="24" t="s">
        <v>3</v>
      </c>
      <c r="B12" s="19">
        <v>2664.07</v>
      </c>
      <c r="C12" s="45"/>
      <c r="D12" s="51"/>
      <c r="E12" s="51"/>
      <c r="F12" s="51"/>
      <c r="G12" s="51"/>
      <c r="H12" s="52"/>
      <c r="I12" s="16">
        <f t="shared" si="3"/>
        <v>2664.07</v>
      </c>
      <c r="J12" s="5">
        <v>25</v>
      </c>
      <c r="K12" s="5">
        <v>237.08</v>
      </c>
      <c r="L12" s="3">
        <f t="shared" si="0"/>
        <v>996.19000000000028</v>
      </c>
      <c r="M12" s="3">
        <f t="shared" si="1"/>
        <v>1258.2700000000004</v>
      </c>
      <c r="N12" s="27">
        <f>SUM(I12-M12)+G12</f>
        <v>1405.7999999999997</v>
      </c>
      <c r="O12" s="34"/>
      <c r="P12" s="35">
        <v>1405.8</v>
      </c>
      <c r="Q12" s="1"/>
    </row>
    <row r="13" spans="1:17" x14ac:dyDescent="0.25">
      <c r="A13" s="24" t="s">
        <v>4</v>
      </c>
      <c r="B13" s="19">
        <v>3617.77</v>
      </c>
      <c r="C13" s="45"/>
      <c r="D13" s="51"/>
      <c r="E13" s="51"/>
      <c r="F13" s="51"/>
      <c r="G13" s="51"/>
      <c r="H13" s="52"/>
      <c r="I13" s="16">
        <f t="shared" si="3"/>
        <v>3617.77</v>
      </c>
      <c r="J13" s="5">
        <v>105.76</v>
      </c>
      <c r="K13" s="5">
        <v>357.76</v>
      </c>
      <c r="L13" s="3">
        <f t="shared" si="0"/>
        <v>1014.1599999999999</v>
      </c>
      <c r="M13" s="3">
        <f t="shared" si="1"/>
        <v>1477.6799999999998</v>
      </c>
      <c r="N13" s="27">
        <f t="shared" si="2"/>
        <v>2140.09</v>
      </c>
      <c r="O13" s="34"/>
      <c r="P13" s="35">
        <v>2140.09</v>
      </c>
    </row>
    <row r="14" spans="1:17" x14ac:dyDescent="0.25">
      <c r="A14" s="24" t="s">
        <v>5</v>
      </c>
      <c r="B14" s="19">
        <f>5990.28+2965.19</f>
        <v>8955.4699999999993</v>
      </c>
      <c r="C14" s="45">
        <f>2396.11+599.03</f>
        <v>2995.1400000000003</v>
      </c>
      <c r="D14" s="51"/>
      <c r="E14" s="51">
        <f>599.03+5990.28+2965.19+3983.53+2396.11</f>
        <v>15934.140000000001</v>
      </c>
      <c r="F14" s="51">
        <f>239.61+2396.11+1186.07+1593.41+958.45</f>
        <v>6373.65</v>
      </c>
      <c r="G14" s="51"/>
      <c r="H14" s="52"/>
      <c r="I14" s="16">
        <f t="shared" si="3"/>
        <v>34258.400000000001</v>
      </c>
      <c r="J14" s="5">
        <f>2406.36+3316.43</f>
        <v>5722.79</v>
      </c>
      <c r="K14" s="5">
        <f>38.89+713.08</f>
        <v>751.97</v>
      </c>
      <c r="L14" s="3">
        <f>I14-J14-K14-P14</f>
        <v>18383.23</v>
      </c>
      <c r="M14" s="3">
        <f t="shared" si="1"/>
        <v>24857.989999999998</v>
      </c>
      <c r="N14" s="27">
        <f t="shared" si="2"/>
        <v>9400.4100000000035</v>
      </c>
      <c r="O14" s="34"/>
      <c r="P14" s="35">
        <v>9400.41</v>
      </c>
    </row>
    <row r="15" spans="1:17" x14ac:dyDescent="0.25">
      <c r="A15" s="24" t="s">
        <v>6</v>
      </c>
      <c r="B15" s="19">
        <f>10370.38+3608.89</f>
        <v>13979.269999999999</v>
      </c>
      <c r="C15" s="45">
        <v>2074.08</v>
      </c>
      <c r="D15" s="51"/>
      <c r="E15" s="51"/>
      <c r="F15" s="51"/>
      <c r="G15" s="51"/>
      <c r="H15" s="52"/>
      <c r="I15" s="16">
        <f t="shared" si="3"/>
        <v>16053.349999999999</v>
      </c>
      <c r="J15" s="5">
        <v>3286.38</v>
      </c>
      <c r="K15" s="5">
        <v>751.97</v>
      </c>
      <c r="L15" s="3">
        <f t="shared" ref="L15:L43" si="7">I15-J15-K15-P15</f>
        <v>214.99999999999818</v>
      </c>
      <c r="M15" s="3">
        <f t="shared" si="1"/>
        <v>4253.3499999999985</v>
      </c>
      <c r="N15" s="27">
        <f t="shared" si="2"/>
        <v>11800</v>
      </c>
      <c r="O15" s="34"/>
      <c r="P15" s="35">
        <v>11800</v>
      </c>
    </row>
    <row r="16" spans="1:17" x14ac:dyDescent="0.25">
      <c r="A16" s="24" t="s">
        <v>7</v>
      </c>
      <c r="B16" s="19">
        <f>11980.55+3522.28</f>
        <v>15502.83</v>
      </c>
      <c r="C16" s="45">
        <v>4792.22</v>
      </c>
      <c r="D16" s="51"/>
      <c r="E16" s="51"/>
      <c r="F16" s="51"/>
      <c r="G16" s="51"/>
      <c r="H16" s="52"/>
      <c r="I16" s="16">
        <f t="shared" si="3"/>
        <v>20295.05</v>
      </c>
      <c r="J16" s="5">
        <v>4504.99</v>
      </c>
      <c r="K16" s="5">
        <v>751.97</v>
      </c>
      <c r="L16" s="3">
        <f t="shared" si="7"/>
        <v>107.20000000000073</v>
      </c>
      <c r="M16" s="3">
        <f t="shared" si="1"/>
        <v>5364.1600000000008</v>
      </c>
      <c r="N16" s="27">
        <f t="shared" si="2"/>
        <v>14930.89</v>
      </c>
      <c r="O16" s="34"/>
      <c r="P16" s="35">
        <v>14930.89</v>
      </c>
    </row>
    <row r="17" spans="1:16" x14ac:dyDescent="0.25">
      <c r="A17" s="24" t="s">
        <v>8</v>
      </c>
      <c r="B17" s="19">
        <v>2433.34</v>
      </c>
      <c r="C17" s="45"/>
      <c r="D17" s="51"/>
      <c r="E17" s="51"/>
      <c r="F17" s="51"/>
      <c r="G17" s="51"/>
      <c r="H17" s="52"/>
      <c r="I17" s="16">
        <f t="shared" si="3"/>
        <v>2433.34</v>
      </c>
      <c r="J17" s="5">
        <v>24</v>
      </c>
      <c r="K17" s="5">
        <v>209.39</v>
      </c>
      <c r="L17" s="3">
        <f t="shared" si="7"/>
        <v>17.490000000000236</v>
      </c>
      <c r="M17" s="3">
        <f t="shared" si="1"/>
        <v>250.88000000000022</v>
      </c>
      <c r="N17" s="27">
        <f t="shared" si="2"/>
        <v>2182.46</v>
      </c>
      <c r="O17" s="34"/>
      <c r="P17" s="35">
        <v>2182.46</v>
      </c>
    </row>
    <row r="18" spans="1:16" x14ac:dyDescent="0.25">
      <c r="A18" s="24" t="s">
        <v>9</v>
      </c>
      <c r="B18" s="19">
        <v>2244.59</v>
      </c>
      <c r="C18" s="45"/>
      <c r="D18" s="51"/>
      <c r="E18" s="51"/>
      <c r="F18" s="51"/>
      <c r="G18" s="51"/>
      <c r="H18" s="52"/>
      <c r="I18" s="16">
        <f t="shared" si="3"/>
        <v>2244.59</v>
      </c>
      <c r="J18" s="5">
        <v>11.54</v>
      </c>
      <c r="K18" s="5">
        <v>186.74</v>
      </c>
      <c r="L18" s="3">
        <f t="shared" si="7"/>
        <v>121.92000000000007</v>
      </c>
      <c r="M18" s="3">
        <f t="shared" si="1"/>
        <v>320.20000000000005</v>
      </c>
      <c r="N18" s="27">
        <f t="shared" si="2"/>
        <v>1924.39</v>
      </c>
      <c r="O18" s="34"/>
      <c r="P18" s="35">
        <v>1924.39</v>
      </c>
    </row>
    <row r="19" spans="1:16" x14ac:dyDescent="0.25">
      <c r="A19" s="24" t="s">
        <v>68</v>
      </c>
      <c r="B19" s="19">
        <f>2224.64+44.49</f>
        <v>2269.1299999999997</v>
      </c>
      <c r="C19" s="45"/>
      <c r="D19" s="51"/>
      <c r="E19" s="51">
        <f>444.93+8.9+151.28</f>
        <v>605.11</v>
      </c>
      <c r="F19" s="51"/>
      <c r="G19" s="51"/>
      <c r="H19" s="52"/>
      <c r="I19" s="16">
        <f t="shared" si="3"/>
        <v>2874.24</v>
      </c>
      <c r="J19" s="5"/>
      <c r="K19" s="5">
        <f>216.92+45.38</f>
        <v>262.3</v>
      </c>
      <c r="L19" s="3">
        <f t="shared" si="7"/>
        <v>810.72999999999956</v>
      </c>
      <c r="M19" s="3">
        <f t="shared" si="1"/>
        <v>1073.0299999999995</v>
      </c>
      <c r="N19" s="27">
        <f t="shared" si="2"/>
        <v>1801.2100000000003</v>
      </c>
      <c r="O19" s="34"/>
      <c r="P19" s="35">
        <v>1801.21</v>
      </c>
    </row>
    <row r="20" spans="1:16" x14ac:dyDescent="0.25">
      <c r="A20" s="24" t="s">
        <v>10</v>
      </c>
      <c r="B20" s="19">
        <f>3015.64+506.63</f>
        <v>3522.27</v>
      </c>
      <c r="C20" s="45">
        <v>603.13</v>
      </c>
      <c r="D20" s="51"/>
      <c r="E20" s="51">
        <f>402.08+2010.42+337.75+916.75</f>
        <v>3667</v>
      </c>
      <c r="F20" s="51"/>
      <c r="G20" s="51"/>
      <c r="H20" s="52"/>
      <c r="I20" s="16">
        <f t="shared" si="3"/>
        <v>7792.4</v>
      </c>
      <c r="J20" s="5">
        <f>121.75+61.64</f>
        <v>183.39</v>
      </c>
      <c r="K20" s="5">
        <f>379.66+372.31</f>
        <v>751.97</v>
      </c>
      <c r="L20" s="3">
        <f t="shared" si="7"/>
        <v>3746.9499999999989</v>
      </c>
      <c r="M20" s="3">
        <f t="shared" si="1"/>
        <v>4682.3099999999986</v>
      </c>
      <c r="N20" s="27">
        <f t="shared" si="2"/>
        <v>3110.0900000000011</v>
      </c>
      <c r="O20" s="34"/>
      <c r="P20" s="35">
        <v>3110.09</v>
      </c>
    </row>
    <row r="21" spans="1:16" x14ac:dyDescent="0.25">
      <c r="A21" s="24" t="s">
        <v>11</v>
      </c>
      <c r="B21" s="19">
        <f>1895.13+151.61</f>
        <v>2046.7400000000002</v>
      </c>
      <c r="C21" s="45"/>
      <c r="D21" s="51"/>
      <c r="E21" s="51">
        <f>379.03+30.32+136.45</f>
        <v>545.79999999999995</v>
      </c>
      <c r="F21" s="51"/>
      <c r="G21" s="51"/>
      <c r="H21" s="52"/>
      <c r="I21" s="16">
        <f t="shared" si="3"/>
        <v>2592.54</v>
      </c>
      <c r="J21" s="5"/>
      <c r="K21" s="5">
        <f>187.56+40.93</f>
        <v>228.49</v>
      </c>
      <c r="L21" s="3">
        <f t="shared" si="7"/>
        <v>510.99000000000024</v>
      </c>
      <c r="M21" s="3">
        <f t="shared" si="1"/>
        <v>739.48000000000025</v>
      </c>
      <c r="N21" s="27">
        <f t="shared" si="2"/>
        <v>1853.0599999999997</v>
      </c>
      <c r="O21" s="34"/>
      <c r="P21" s="35">
        <v>1853.06</v>
      </c>
    </row>
    <row r="22" spans="1:16" x14ac:dyDescent="0.25">
      <c r="A22" s="24" t="s">
        <v>12</v>
      </c>
      <c r="B22" s="19">
        <f>13212.02+7451.58</f>
        <v>20663.599999999999</v>
      </c>
      <c r="C22" s="45">
        <v>17836.23</v>
      </c>
      <c r="D22" s="51"/>
      <c r="E22" s="51"/>
      <c r="F22" s="51"/>
      <c r="G22" s="51"/>
      <c r="H22" s="52"/>
      <c r="I22" s="16">
        <f t="shared" si="3"/>
        <v>38499.83</v>
      </c>
      <c r="J22" s="5">
        <v>9511.2999999999993</v>
      </c>
      <c r="K22" s="5">
        <v>751.97</v>
      </c>
      <c r="L22" s="3">
        <f t="shared" si="7"/>
        <v>285.30000000000291</v>
      </c>
      <c r="M22" s="3">
        <f t="shared" si="1"/>
        <v>10548.570000000002</v>
      </c>
      <c r="N22" s="27">
        <f t="shared" si="2"/>
        <v>27951.260000000002</v>
      </c>
      <c r="O22" s="34"/>
      <c r="P22" s="35">
        <v>27951.26</v>
      </c>
    </row>
    <row r="23" spans="1:16" x14ac:dyDescent="0.25">
      <c r="A23" s="24" t="s">
        <v>13</v>
      </c>
      <c r="B23" s="19">
        <f>11980.55+3737.93</f>
        <v>15718.48</v>
      </c>
      <c r="C23" s="45">
        <v>2396.11</v>
      </c>
      <c r="D23" s="51"/>
      <c r="E23" s="51"/>
      <c r="F23" s="51"/>
      <c r="G23" s="51"/>
      <c r="H23" s="52"/>
      <c r="I23" s="16">
        <f t="shared" si="3"/>
        <v>18114.59</v>
      </c>
      <c r="J23" s="5">
        <v>3853.22</v>
      </c>
      <c r="K23" s="5">
        <v>751.97</v>
      </c>
      <c r="L23" s="3">
        <f t="shared" si="7"/>
        <v>2182.6400000000012</v>
      </c>
      <c r="M23" s="3">
        <f t="shared" si="1"/>
        <v>6787.8300000000008</v>
      </c>
      <c r="N23" s="27">
        <f t="shared" si="2"/>
        <v>11326.759999999998</v>
      </c>
      <c r="O23" s="34"/>
      <c r="P23" s="35">
        <v>11326.76</v>
      </c>
    </row>
    <row r="24" spans="1:16" x14ac:dyDescent="0.25">
      <c r="A24" s="24" t="s">
        <v>14</v>
      </c>
      <c r="B24" s="19">
        <f>2608.32+573.83</f>
        <v>3182.15</v>
      </c>
      <c r="C24" s="45"/>
      <c r="D24" s="51"/>
      <c r="E24" s="51">
        <f>2608.32+573.83+1060.72</f>
        <v>4242.87</v>
      </c>
      <c r="F24" s="51">
        <f>1738.88+382.55+707.14</f>
        <v>2828.57</v>
      </c>
      <c r="G24" s="51"/>
      <c r="H24" s="52"/>
      <c r="I24" s="16">
        <f t="shared" si="3"/>
        <v>10253.59</v>
      </c>
      <c r="J24" s="5">
        <f>44.99+156.81</f>
        <v>201.8</v>
      </c>
      <c r="K24" s="5">
        <f>299.04+452.93</f>
        <v>751.97</v>
      </c>
      <c r="L24" s="3">
        <f t="shared" si="7"/>
        <v>7782.8600000000015</v>
      </c>
      <c r="M24" s="3">
        <f t="shared" si="1"/>
        <v>8736.630000000001</v>
      </c>
      <c r="N24" s="27">
        <f t="shared" si="2"/>
        <v>1516.9599999999991</v>
      </c>
      <c r="O24" s="34"/>
      <c r="P24" s="35">
        <v>1516.96</v>
      </c>
    </row>
    <row r="25" spans="1:16" x14ac:dyDescent="0.25">
      <c r="A25" s="24" t="s">
        <v>85</v>
      </c>
      <c r="B25" s="19">
        <v>1755.42</v>
      </c>
      <c r="C25" s="45"/>
      <c r="D25" s="51"/>
      <c r="E25" s="51"/>
      <c r="F25" s="51"/>
      <c r="G25" s="51"/>
      <c r="H25" s="52"/>
      <c r="I25" s="16">
        <f t="shared" si="3"/>
        <v>1755.42</v>
      </c>
      <c r="J25" s="5"/>
      <c r="K25" s="5">
        <v>141.47999999999999</v>
      </c>
      <c r="L25" s="3">
        <f t="shared" ref="L25" si="8">I25-J25-K25-P25</f>
        <v>6.1200000000001182</v>
      </c>
      <c r="M25" s="3">
        <f t="shared" ref="M25" si="9">SUM(J25:L25)</f>
        <v>147.60000000000011</v>
      </c>
      <c r="N25" s="27">
        <f t="shared" ref="N25" si="10">SUM(I25-M25)</f>
        <v>1607.82</v>
      </c>
      <c r="O25" s="34"/>
      <c r="P25" s="35">
        <v>1607.82</v>
      </c>
    </row>
    <row r="26" spans="1:16" x14ac:dyDescent="0.25">
      <c r="A26" s="24" t="s">
        <v>62</v>
      </c>
      <c r="B26" s="19">
        <v>2860.75</v>
      </c>
      <c r="C26" s="45"/>
      <c r="D26" s="51"/>
      <c r="E26" s="51"/>
      <c r="F26" s="51"/>
      <c r="G26" s="51"/>
      <c r="H26" s="52"/>
      <c r="I26" s="16">
        <f t="shared" si="3"/>
        <v>2860.75</v>
      </c>
      <c r="J26" s="5">
        <v>52.21</v>
      </c>
      <c r="K26" s="5">
        <v>260.68</v>
      </c>
      <c r="L26" s="3">
        <f t="shared" si="7"/>
        <v>104.74000000000024</v>
      </c>
      <c r="M26" s="3">
        <f t="shared" si="1"/>
        <v>417.63000000000022</v>
      </c>
      <c r="N26" s="27">
        <f t="shared" si="2"/>
        <v>2443.12</v>
      </c>
      <c r="O26" s="34"/>
      <c r="P26" s="35">
        <v>2443.12</v>
      </c>
    </row>
    <row r="27" spans="1:16" x14ac:dyDescent="0.25">
      <c r="A27" s="24" t="s">
        <v>15</v>
      </c>
      <c r="B27" s="19">
        <f>11980.55+3737.93</f>
        <v>15718.48</v>
      </c>
      <c r="C27" s="45">
        <v>2396.11</v>
      </c>
      <c r="D27" s="51"/>
      <c r="E27" s="51"/>
      <c r="F27" s="51"/>
      <c r="G27" s="51"/>
      <c r="H27" s="52"/>
      <c r="I27" s="16">
        <f t="shared" si="3"/>
        <v>18114.59</v>
      </c>
      <c r="J27" s="5">
        <v>3853.22</v>
      </c>
      <c r="K27" s="5">
        <v>751.97</v>
      </c>
      <c r="L27" s="3">
        <f t="shared" si="7"/>
        <v>4325.4100000000017</v>
      </c>
      <c r="M27" s="3">
        <f t="shared" si="1"/>
        <v>8930.6000000000022</v>
      </c>
      <c r="N27" s="27">
        <f t="shared" si="2"/>
        <v>9183.989999999998</v>
      </c>
      <c r="O27" s="34"/>
      <c r="P27" s="35">
        <v>9183.99</v>
      </c>
    </row>
    <row r="28" spans="1:16" x14ac:dyDescent="0.25">
      <c r="A28" s="24" t="s">
        <v>16</v>
      </c>
      <c r="B28" s="19">
        <v>6781.65</v>
      </c>
      <c r="C28" s="45"/>
      <c r="D28" s="51"/>
      <c r="E28" s="51"/>
      <c r="F28" s="51"/>
      <c r="G28" s="51"/>
      <c r="H28" s="52"/>
      <c r="I28" s="16">
        <f t="shared" si="3"/>
        <v>6781.65</v>
      </c>
      <c r="J28" s="5">
        <v>684.53</v>
      </c>
      <c r="K28" s="5">
        <v>751.97</v>
      </c>
      <c r="L28" s="3">
        <f t="shared" si="7"/>
        <v>6.1199999999998909</v>
      </c>
      <c r="M28" s="3">
        <f t="shared" si="1"/>
        <v>1442.62</v>
      </c>
      <c r="N28" s="27">
        <f>SUM(I28-M28)+G28</f>
        <v>5339.03</v>
      </c>
      <c r="O28" s="34"/>
      <c r="P28" s="35">
        <v>5339.03</v>
      </c>
    </row>
    <row r="29" spans="1:16" x14ac:dyDescent="0.25">
      <c r="A29" s="24" t="s">
        <v>17</v>
      </c>
      <c r="B29" s="19">
        <f>4437.15+266.23</f>
        <v>4703.3799999999992</v>
      </c>
      <c r="C29" s="45"/>
      <c r="D29" s="51"/>
      <c r="E29" s="51">
        <f>2568.88+154.13+907.67</f>
        <v>3630.6800000000003</v>
      </c>
      <c r="F29" s="51"/>
      <c r="G29" s="51"/>
      <c r="H29" s="52"/>
      <c r="I29" s="16">
        <f t="shared" si="3"/>
        <v>8334.06</v>
      </c>
      <c r="J29" s="5">
        <f>335.56+134.72</f>
        <v>470.28</v>
      </c>
      <c r="K29" s="5">
        <f>384.75+367.22</f>
        <v>751.97</v>
      </c>
      <c r="L29" s="3">
        <f t="shared" si="7"/>
        <v>3134.8599999999997</v>
      </c>
      <c r="M29" s="3">
        <f t="shared" si="1"/>
        <v>4357.1099999999997</v>
      </c>
      <c r="N29" s="27">
        <f t="shared" si="2"/>
        <v>3976.95</v>
      </c>
      <c r="O29" s="34"/>
      <c r="P29" s="35">
        <v>3976.95</v>
      </c>
    </row>
    <row r="30" spans="1:16" x14ac:dyDescent="0.25">
      <c r="A30" s="24" t="s">
        <v>18</v>
      </c>
      <c r="B30" s="19">
        <v>2362.52</v>
      </c>
      <c r="C30" s="45"/>
      <c r="D30" s="51"/>
      <c r="E30" s="51"/>
      <c r="F30" s="51"/>
      <c r="G30" s="51"/>
      <c r="H30" s="52"/>
      <c r="I30" s="16">
        <f t="shared" si="3"/>
        <v>2362.52</v>
      </c>
      <c r="J30" s="5">
        <v>19.32</v>
      </c>
      <c r="K30" s="5">
        <v>200.89</v>
      </c>
      <c r="L30" s="3">
        <f t="shared" si="7"/>
        <v>185.36999999999989</v>
      </c>
      <c r="M30" s="3">
        <f t="shared" si="1"/>
        <v>405.57999999999987</v>
      </c>
      <c r="N30" s="27">
        <f t="shared" si="2"/>
        <v>1956.94</v>
      </c>
      <c r="O30" s="34"/>
      <c r="P30" s="35">
        <v>1956.94</v>
      </c>
    </row>
    <row r="31" spans="1:16" x14ac:dyDescent="0.25">
      <c r="A31" s="24" t="s">
        <v>19</v>
      </c>
      <c r="B31" s="19">
        <f>4294.59+1058.92</f>
        <v>5353.51</v>
      </c>
      <c r="C31" s="45">
        <v>1000</v>
      </c>
      <c r="D31" s="51"/>
      <c r="E31" s="51"/>
      <c r="F31" s="51"/>
      <c r="G31" s="51"/>
      <c r="H31" s="52"/>
      <c r="I31" s="16">
        <f t="shared" si="3"/>
        <v>6353.51</v>
      </c>
      <c r="J31" s="5">
        <v>569.87</v>
      </c>
      <c r="K31" s="5">
        <v>740.77</v>
      </c>
      <c r="L31" s="3">
        <f t="shared" si="7"/>
        <v>667.90000000000055</v>
      </c>
      <c r="M31" s="3">
        <f t="shared" si="1"/>
        <v>1978.5400000000004</v>
      </c>
      <c r="N31" s="27">
        <f t="shared" si="2"/>
        <v>4374.9699999999993</v>
      </c>
      <c r="O31" s="34"/>
      <c r="P31" s="35">
        <v>4374.97</v>
      </c>
    </row>
    <row r="32" spans="1:16" x14ac:dyDescent="0.25">
      <c r="A32" s="24" t="s">
        <v>20</v>
      </c>
      <c r="B32" s="19">
        <f>3956.72+1226.58</f>
        <v>5183.2999999999993</v>
      </c>
      <c r="C32" s="45"/>
      <c r="D32" s="51"/>
      <c r="E32" s="51">
        <f>791.34+245.32+345.55</f>
        <v>1382.21</v>
      </c>
      <c r="F32" s="51">
        <f>1582.69+490.63+691.11</f>
        <v>2764.4300000000003</v>
      </c>
      <c r="G32" s="51"/>
      <c r="H32" s="52"/>
      <c r="I32" s="16">
        <f t="shared" si="3"/>
        <v>9329.9399999999987</v>
      </c>
      <c r="J32" s="5">
        <v>358.38</v>
      </c>
      <c r="K32" s="5">
        <f>643.26+108.71</f>
        <v>751.97</v>
      </c>
      <c r="L32" s="3">
        <f t="shared" si="7"/>
        <v>4301.96</v>
      </c>
      <c r="M32" s="3">
        <f t="shared" si="1"/>
        <v>5412.3099999999995</v>
      </c>
      <c r="N32" s="27">
        <f t="shared" si="2"/>
        <v>3917.6299999999992</v>
      </c>
      <c r="O32" s="34"/>
      <c r="P32" s="35">
        <v>3917.63</v>
      </c>
    </row>
    <row r="33" spans="1:16" x14ac:dyDescent="0.25">
      <c r="A33" s="24" t="s">
        <v>21</v>
      </c>
      <c r="B33" s="19">
        <v>7308.24</v>
      </c>
      <c r="C33" s="45"/>
      <c r="D33" s="51"/>
      <c r="E33" s="51"/>
      <c r="F33" s="51"/>
      <c r="G33" s="51"/>
      <c r="H33" s="52"/>
      <c r="I33" s="16">
        <f t="shared" si="3"/>
        <v>7308.24</v>
      </c>
      <c r="J33" s="5">
        <v>933.61</v>
      </c>
      <c r="K33" s="5">
        <v>751.97</v>
      </c>
      <c r="L33" s="3">
        <f t="shared" si="7"/>
        <v>1365.6899999999996</v>
      </c>
      <c r="M33" s="3">
        <f t="shared" si="1"/>
        <v>3051.2699999999995</v>
      </c>
      <c r="N33" s="27">
        <f t="shared" si="2"/>
        <v>4256.97</v>
      </c>
      <c r="O33" s="34"/>
      <c r="P33" s="35">
        <v>4256.97</v>
      </c>
    </row>
    <row r="34" spans="1:16" x14ac:dyDescent="0.25">
      <c r="A34" s="24" t="s">
        <v>66</v>
      </c>
      <c r="B34" s="19">
        <f>592.17+11.84</f>
        <v>604.01</v>
      </c>
      <c r="C34" s="45"/>
      <c r="D34" s="51"/>
      <c r="E34" s="51">
        <f>3849.08+76.99+1308.69</f>
        <v>5234.76</v>
      </c>
      <c r="F34" s="51"/>
      <c r="G34" s="51"/>
      <c r="H34" s="52"/>
      <c r="I34" s="16">
        <f t="shared" si="3"/>
        <v>5838.77</v>
      </c>
      <c r="J34" s="5">
        <v>597.91999999999996</v>
      </c>
      <c r="K34" s="5">
        <f>58.1+610.6</f>
        <v>668.7</v>
      </c>
      <c r="L34" s="3">
        <f t="shared" ref="L34" si="11">I34-J34-K34-P34</f>
        <v>4067.3000000000006</v>
      </c>
      <c r="M34" s="3">
        <f t="shared" ref="M34" si="12">SUM(J34:L34)</f>
        <v>5333.92</v>
      </c>
      <c r="N34" s="27">
        <f>SUM(I34-M34)+G34</f>
        <v>504.85000000000036</v>
      </c>
      <c r="O34" s="34"/>
      <c r="P34" s="35">
        <v>504.85</v>
      </c>
    </row>
    <row r="35" spans="1:16" x14ac:dyDescent="0.25">
      <c r="A35" s="24" t="s">
        <v>22</v>
      </c>
      <c r="B35" s="19">
        <v>2045.08</v>
      </c>
      <c r="C35" s="45"/>
      <c r="D35" s="51"/>
      <c r="E35" s="51"/>
      <c r="F35" s="51"/>
      <c r="G35" s="51"/>
      <c r="H35" s="52"/>
      <c r="I35" s="16">
        <f t="shared" si="3"/>
        <v>2045.08</v>
      </c>
      <c r="J35" s="5"/>
      <c r="K35" s="5">
        <v>159.44999999999999</v>
      </c>
      <c r="L35" s="3">
        <f t="shared" si="7"/>
        <v>199.23999999999978</v>
      </c>
      <c r="M35" s="3">
        <f t="shared" si="1"/>
        <v>358.68999999999977</v>
      </c>
      <c r="N35" s="27">
        <f>SUM(I35-M35)+G35</f>
        <v>1686.39</v>
      </c>
      <c r="O35" s="34"/>
      <c r="P35" s="35">
        <v>1686.39</v>
      </c>
    </row>
    <row r="36" spans="1:16" x14ac:dyDescent="0.25">
      <c r="A36" s="24" t="s">
        <v>23</v>
      </c>
      <c r="B36" s="19">
        <f>5021.09+723.04</f>
        <v>5744.13</v>
      </c>
      <c r="C36" s="45">
        <v>1004.22</v>
      </c>
      <c r="D36" s="51"/>
      <c r="E36" s="51"/>
      <c r="F36" s="51"/>
      <c r="G36" s="51"/>
      <c r="H36" s="52"/>
      <c r="I36" s="16">
        <f t="shared" si="3"/>
        <v>6748.35</v>
      </c>
      <c r="J36" s="5">
        <v>779.64</v>
      </c>
      <c r="K36" s="5">
        <v>751.97</v>
      </c>
      <c r="L36" s="3">
        <f t="shared" si="7"/>
        <v>66.059999999999491</v>
      </c>
      <c r="M36" s="3">
        <f t="shared" si="1"/>
        <v>1597.6699999999996</v>
      </c>
      <c r="N36" s="27">
        <f t="shared" si="2"/>
        <v>5150.68</v>
      </c>
      <c r="O36" s="34"/>
      <c r="P36" s="35">
        <v>5150.68</v>
      </c>
    </row>
    <row r="37" spans="1:16" x14ac:dyDescent="0.25">
      <c r="A37" s="24" t="s">
        <v>24</v>
      </c>
      <c r="B37" s="19">
        <f>11980.55+3737.93</f>
        <v>15718.48</v>
      </c>
      <c r="C37" s="45">
        <v>2396.11</v>
      </c>
      <c r="D37" s="51"/>
      <c r="E37" s="51"/>
      <c r="F37" s="51"/>
      <c r="G37" s="51"/>
      <c r="H37" s="52"/>
      <c r="I37" s="16">
        <f t="shared" si="3"/>
        <v>18114.59</v>
      </c>
      <c r="J37" s="5">
        <v>3853.22</v>
      </c>
      <c r="K37" s="5">
        <v>751.97</v>
      </c>
      <c r="L37" s="3">
        <f t="shared" si="7"/>
        <v>538.7400000000016</v>
      </c>
      <c r="M37" s="3">
        <f t="shared" si="1"/>
        <v>5143.9300000000012</v>
      </c>
      <c r="N37" s="27">
        <f>SUM(I37-M37)+G37</f>
        <v>12970.66</v>
      </c>
      <c r="O37" s="34"/>
      <c r="P37" s="35">
        <v>12970.66</v>
      </c>
    </row>
    <row r="38" spans="1:16" x14ac:dyDescent="0.25">
      <c r="A38" s="24" t="s">
        <v>25</v>
      </c>
      <c r="B38" s="19">
        <f>11980.55+3450.4</f>
        <v>15430.949999999999</v>
      </c>
      <c r="C38" s="45">
        <v>2396.11</v>
      </c>
      <c r="D38" s="51"/>
      <c r="E38" s="51"/>
      <c r="F38" s="51"/>
      <c r="G38" s="51"/>
      <c r="H38" s="52"/>
      <c r="I38" s="16">
        <f t="shared" si="3"/>
        <v>17827.059999999998</v>
      </c>
      <c r="J38" s="5">
        <v>3774.15</v>
      </c>
      <c r="K38" s="5">
        <v>751.97</v>
      </c>
      <c r="L38" s="3">
        <f t="shared" si="7"/>
        <v>6.1199999999989814</v>
      </c>
      <c r="M38" s="3">
        <f t="shared" si="1"/>
        <v>4532.2399999999989</v>
      </c>
      <c r="N38" s="27">
        <f t="shared" si="2"/>
        <v>13294.82</v>
      </c>
      <c r="O38" s="34"/>
      <c r="P38" s="35">
        <v>13294.82</v>
      </c>
    </row>
    <row r="39" spans="1:16" x14ac:dyDescent="0.25">
      <c r="A39" s="24" t="s">
        <v>67</v>
      </c>
      <c r="B39" s="19">
        <f>4927.52+650.43</f>
        <v>5577.9500000000007</v>
      </c>
      <c r="C39" s="45">
        <v>985.5</v>
      </c>
      <c r="D39" s="51"/>
      <c r="E39" s="51"/>
      <c r="F39" s="51"/>
      <c r="G39" s="51"/>
      <c r="H39" s="52"/>
      <c r="I39" s="16">
        <f t="shared" si="3"/>
        <v>6563.4500000000007</v>
      </c>
      <c r="J39" s="5">
        <v>728.8</v>
      </c>
      <c r="K39" s="5">
        <v>751.97</v>
      </c>
      <c r="L39" s="3">
        <f t="shared" si="7"/>
        <v>197.51000000000022</v>
      </c>
      <c r="M39" s="3">
        <f t="shared" si="1"/>
        <v>1678.2800000000002</v>
      </c>
      <c r="N39" s="27">
        <f t="shared" si="2"/>
        <v>4885.17</v>
      </c>
      <c r="O39" s="34"/>
      <c r="P39" s="35">
        <v>4885.17</v>
      </c>
    </row>
    <row r="40" spans="1:16" x14ac:dyDescent="0.25">
      <c r="A40" s="24" t="s">
        <v>26</v>
      </c>
      <c r="B40" s="19">
        <f>3105.1+260.83</f>
        <v>3365.93</v>
      </c>
      <c r="C40" s="45">
        <v>621.02</v>
      </c>
      <c r="D40" s="51"/>
      <c r="E40" s="51">
        <f>310.51+1552.55+130.41+664.49</f>
        <v>2657.96</v>
      </c>
      <c r="F40" s="51"/>
      <c r="G40" s="51"/>
      <c r="H40" s="52"/>
      <c r="I40" s="16">
        <f t="shared" si="3"/>
        <v>6644.91</v>
      </c>
      <c r="J40" s="5">
        <f>109.66+10.06</f>
        <v>119.72</v>
      </c>
      <c r="K40" s="5">
        <f>511.39+240.58</f>
        <v>751.97</v>
      </c>
      <c r="L40" s="3">
        <f t="shared" si="7"/>
        <v>3843.579999999999</v>
      </c>
      <c r="M40" s="3">
        <f t="shared" si="1"/>
        <v>4715.2699999999986</v>
      </c>
      <c r="N40" s="27">
        <f>SUM(I40-M40)+G40</f>
        <v>1929.6400000000012</v>
      </c>
      <c r="O40" s="34"/>
      <c r="P40" s="35">
        <v>1929.64</v>
      </c>
    </row>
    <row r="41" spans="1:16" x14ac:dyDescent="0.25">
      <c r="A41" s="24" t="s">
        <v>64</v>
      </c>
      <c r="B41" s="19">
        <v>1881.14</v>
      </c>
      <c r="C41" s="45"/>
      <c r="D41" s="51"/>
      <c r="E41" s="51"/>
      <c r="F41" s="51"/>
      <c r="G41" s="51"/>
      <c r="H41" s="52"/>
      <c r="I41" s="16">
        <f t="shared" si="3"/>
        <v>1881.14</v>
      </c>
      <c r="J41" s="5"/>
      <c r="K41" s="5">
        <v>152.80000000000001</v>
      </c>
      <c r="L41" s="3">
        <f t="shared" ref="L41" si="13">I41-J41-K41-P41</f>
        <v>15.250000000000227</v>
      </c>
      <c r="M41" s="3">
        <f t="shared" ref="M41" si="14">SUM(J41:L41)</f>
        <v>168.05000000000024</v>
      </c>
      <c r="N41" s="27">
        <f t="shared" ref="N41" si="15">SUM(I41-M41)</f>
        <v>1713.09</v>
      </c>
      <c r="O41" s="34"/>
      <c r="P41" s="35">
        <v>1713.09</v>
      </c>
    </row>
    <row r="42" spans="1:16" x14ac:dyDescent="0.25">
      <c r="A42" s="24" t="s">
        <v>27</v>
      </c>
      <c r="B42" s="19">
        <f>2263.9+249.03</f>
        <v>2512.9300000000003</v>
      </c>
      <c r="C42" s="45"/>
      <c r="D42" s="51"/>
      <c r="E42" s="51">
        <f>452.78+49.81+167.53</f>
        <v>670.12</v>
      </c>
      <c r="F42" s="51">
        <f>905.56+99.61+335.06</f>
        <v>1340.23</v>
      </c>
      <c r="G42" s="51"/>
      <c r="H42" s="52"/>
      <c r="I42" s="16">
        <f t="shared" si="3"/>
        <v>4523.2800000000007</v>
      </c>
      <c r="J42" s="5">
        <v>26.99</v>
      </c>
      <c r="K42" s="5">
        <f>249.1+50.25</f>
        <v>299.35000000000002</v>
      </c>
      <c r="L42" s="3">
        <f t="shared" si="7"/>
        <v>2802.05</v>
      </c>
      <c r="M42" s="3">
        <f t="shared" si="1"/>
        <v>3128.3900000000003</v>
      </c>
      <c r="N42" s="27">
        <f t="shared" si="2"/>
        <v>1394.8900000000003</v>
      </c>
      <c r="O42" s="34"/>
      <c r="P42" s="35">
        <v>1394.89</v>
      </c>
    </row>
    <row r="43" spans="1:16" ht="15.75" thickBot="1" x14ac:dyDescent="0.3">
      <c r="A43" s="24" t="s">
        <v>28</v>
      </c>
      <c r="B43" s="20">
        <f>11980.55+3594.17</f>
        <v>15574.72</v>
      </c>
      <c r="C43" s="46">
        <v>2396.11</v>
      </c>
      <c r="D43" s="51"/>
      <c r="E43" s="51"/>
      <c r="F43" s="51"/>
      <c r="G43" s="51"/>
      <c r="H43" s="52"/>
      <c r="I43" s="17">
        <f>SUM(B43:H43)</f>
        <v>17970.829999999998</v>
      </c>
      <c r="J43" s="5">
        <v>3761.55</v>
      </c>
      <c r="K43" s="5">
        <v>751.97</v>
      </c>
      <c r="L43" s="3">
        <f t="shared" si="7"/>
        <v>79.119999999998981</v>
      </c>
      <c r="M43" s="3">
        <f t="shared" si="1"/>
        <v>4592.6399999999994</v>
      </c>
      <c r="N43" s="28">
        <f t="shared" si="2"/>
        <v>13378.189999999999</v>
      </c>
      <c r="O43" s="34"/>
      <c r="P43" s="35">
        <v>13378.19</v>
      </c>
    </row>
    <row r="44" spans="1:16" x14ac:dyDescent="0.25">
      <c r="A44" s="63" t="s">
        <v>56</v>
      </c>
      <c r="B44" s="65" t="s">
        <v>46</v>
      </c>
      <c r="C44" s="72" t="s">
        <v>73</v>
      </c>
      <c r="D44" s="69" t="s">
        <v>47</v>
      </c>
      <c r="E44" s="69" t="s">
        <v>74</v>
      </c>
      <c r="F44" s="40" t="s">
        <v>75</v>
      </c>
      <c r="G44" s="42" t="s">
        <v>77</v>
      </c>
      <c r="H44" s="11" t="s">
        <v>59</v>
      </c>
      <c r="I44" s="30" t="s">
        <v>48</v>
      </c>
      <c r="J44" s="67" t="s">
        <v>50</v>
      </c>
      <c r="K44" s="67" t="s">
        <v>51</v>
      </c>
      <c r="L44" s="11" t="s">
        <v>52</v>
      </c>
      <c r="M44" s="11" t="s">
        <v>54</v>
      </c>
      <c r="N44" s="32" t="s">
        <v>48</v>
      </c>
      <c r="O44" s="37"/>
      <c r="P44" s="37"/>
    </row>
    <row r="45" spans="1:16" ht="15.75" thickBot="1" x14ac:dyDescent="0.3">
      <c r="A45" s="64"/>
      <c r="B45" s="66"/>
      <c r="C45" s="73"/>
      <c r="D45" s="70"/>
      <c r="E45" s="70"/>
      <c r="F45" s="41" t="s">
        <v>76</v>
      </c>
      <c r="G45" s="43" t="s">
        <v>61</v>
      </c>
      <c r="H45" s="12" t="s">
        <v>60</v>
      </c>
      <c r="I45" s="31" t="s">
        <v>49</v>
      </c>
      <c r="J45" s="68"/>
      <c r="K45" s="68"/>
      <c r="L45" s="12" t="s">
        <v>53</v>
      </c>
      <c r="M45" s="12" t="s">
        <v>53</v>
      </c>
      <c r="N45" s="33" t="s">
        <v>55</v>
      </c>
      <c r="O45" s="37"/>
      <c r="P45" s="37"/>
    </row>
    <row r="46" spans="1:16" x14ac:dyDescent="0.25">
      <c r="A46" s="24" t="s">
        <v>29</v>
      </c>
      <c r="B46" s="22">
        <v>2069.3000000000002</v>
      </c>
      <c r="C46" s="47"/>
      <c r="D46" s="51"/>
      <c r="E46" s="51"/>
      <c r="F46" s="51"/>
      <c r="G46" s="51"/>
      <c r="H46" s="52"/>
      <c r="I46" s="21">
        <f>SUM(B46:H46)</f>
        <v>2069.3000000000002</v>
      </c>
      <c r="J46" s="5"/>
      <c r="K46" s="5">
        <v>169.73</v>
      </c>
      <c r="L46" s="3">
        <f t="shared" ref="L46:L66" si="16">I46-J46-K46-P46</f>
        <v>742.38000000000011</v>
      </c>
      <c r="M46" s="3">
        <f t="shared" si="1"/>
        <v>912.11000000000013</v>
      </c>
      <c r="N46" s="29">
        <f t="shared" si="2"/>
        <v>1157.19</v>
      </c>
      <c r="O46" s="34"/>
      <c r="P46" s="35">
        <v>1157.19</v>
      </c>
    </row>
    <row r="47" spans="1:16" x14ac:dyDescent="0.25">
      <c r="A47" s="24" t="s">
        <v>30</v>
      </c>
      <c r="B47" s="19">
        <v>4225.22</v>
      </c>
      <c r="C47" s="45"/>
      <c r="D47" s="51"/>
      <c r="E47" s="51"/>
      <c r="F47" s="51"/>
      <c r="G47" s="51"/>
      <c r="H47" s="53"/>
      <c r="I47" s="16">
        <f>SUM(B47:H47)</f>
        <v>4225.22</v>
      </c>
      <c r="J47" s="5">
        <v>214.91</v>
      </c>
      <c r="K47" s="5">
        <v>442.81</v>
      </c>
      <c r="L47" s="3">
        <f t="shared" si="16"/>
        <v>450.19000000000051</v>
      </c>
      <c r="M47" s="3">
        <f t="shared" si="1"/>
        <v>1107.9100000000005</v>
      </c>
      <c r="N47" s="27">
        <f t="shared" si="2"/>
        <v>3117.3099999999995</v>
      </c>
      <c r="O47" s="34"/>
      <c r="P47" s="35">
        <v>3117.31</v>
      </c>
    </row>
    <row r="48" spans="1:16" x14ac:dyDescent="0.25">
      <c r="A48" s="24" t="s">
        <v>31</v>
      </c>
      <c r="B48" s="19">
        <f>3143.41+440.08</f>
        <v>3583.49</v>
      </c>
      <c r="C48" s="45"/>
      <c r="D48" s="51"/>
      <c r="E48" s="51">
        <f>4715.12+660.12+1791.74</f>
        <v>7166.98</v>
      </c>
      <c r="F48" s="51"/>
      <c r="G48" s="51"/>
      <c r="H48" s="53">
        <v>3280.99</v>
      </c>
      <c r="I48" s="16">
        <f t="shared" ref="I48:I65" si="17">SUM(B48:H48)</f>
        <v>14031.46</v>
      </c>
      <c r="J48" s="5">
        <f>955.54+853.33</f>
        <v>1808.87</v>
      </c>
      <c r="K48" s="5">
        <f>38.89+713.08</f>
        <v>751.97</v>
      </c>
      <c r="L48" s="3">
        <f t="shared" si="16"/>
        <v>6276.5100000000011</v>
      </c>
      <c r="M48" s="3">
        <f t="shared" si="1"/>
        <v>8837.3500000000022</v>
      </c>
      <c r="N48" s="27">
        <f t="shared" si="2"/>
        <v>5194.1099999999969</v>
      </c>
      <c r="O48" s="34"/>
      <c r="P48" s="35">
        <v>5194.1099999999997</v>
      </c>
    </row>
    <row r="49" spans="1:16" x14ac:dyDescent="0.25">
      <c r="A49" s="24" t="s">
        <v>32</v>
      </c>
      <c r="B49" s="19">
        <f>2644.15+888.43</f>
        <v>3532.58</v>
      </c>
      <c r="C49" s="45">
        <v>1057.6600000000001</v>
      </c>
      <c r="D49" s="51"/>
      <c r="E49" s="51">
        <f>2644.15+888.43+1530.08+1057.66</f>
        <v>6120.32</v>
      </c>
      <c r="F49" s="51">
        <f>705.11+1762.77+592.29+1020.06</f>
        <v>4080.23</v>
      </c>
      <c r="G49" s="51"/>
      <c r="H49" s="53"/>
      <c r="I49" s="16">
        <f t="shared" si="17"/>
        <v>14790.789999999999</v>
      </c>
      <c r="J49" s="5">
        <f>302.61+513.36</f>
        <v>815.97</v>
      </c>
      <c r="K49" s="5">
        <f>38.89+713.08</f>
        <v>751.97</v>
      </c>
      <c r="L49" s="3">
        <f>I49-J49-K49-P49</f>
        <v>9853.67</v>
      </c>
      <c r="M49" s="3">
        <f>SUM(J49:L49)</f>
        <v>11421.61</v>
      </c>
      <c r="N49" s="27">
        <f t="shared" si="2"/>
        <v>3369.1799999999985</v>
      </c>
      <c r="O49" s="34"/>
      <c r="P49" s="35">
        <v>3369.18</v>
      </c>
    </row>
    <row r="50" spans="1:16" x14ac:dyDescent="0.25">
      <c r="A50" s="24" t="s">
        <v>33</v>
      </c>
      <c r="B50" s="19">
        <f>2299.51+386.32</f>
        <v>2685.8300000000004</v>
      </c>
      <c r="C50" s="45">
        <v>459.9</v>
      </c>
      <c r="D50" s="51"/>
      <c r="E50" s="51">
        <f>525.6+2628.01+441.51+1198.37</f>
        <v>4793.49</v>
      </c>
      <c r="F50" s="51"/>
      <c r="G50" s="51"/>
      <c r="H50" s="53"/>
      <c r="I50" s="16">
        <f t="shared" si="17"/>
        <v>7939.22</v>
      </c>
      <c r="J50" s="5">
        <f>48.05+237.84</f>
        <v>285.89</v>
      </c>
      <c r="K50" s="5">
        <f>221.95+530.02</f>
        <v>751.97</v>
      </c>
      <c r="L50" s="3">
        <f t="shared" si="16"/>
        <v>4461.51</v>
      </c>
      <c r="M50" s="3">
        <f t="shared" si="1"/>
        <v>5499.3700000000008</v>
      </c>
      <c r="N50" s="27">
        <f t="shared" si="2"/>
        <v>2439.8499999999995</v>
      </c>
      <c r="O50" s="34"/>
      <c r="P50" s="35">
        <v>2439.85</v>
      </c>
    </row>
    <row r="51" spans="1:16" x14ac:dyDescent="0.25">
      <c r="A51" s="24" t="s">
        <v>34</v>
      </c>
      <c r="B51" s="19">
        <v>6931.01</v>
      </c>
      <c r="C51" s="45"/>
      <c r="D51" s="51"/>
      <c r="E51" s="51"/>
      <c r="F51" s="51"/>
      <c r="G51" s="51"/>
      <c r="H51" s="53"/>
      <c r="I51" s="16">
        <f t="shared" si="17"/>
        <v>6931.01</v>
      </c>
      <c r="J51" s="5">
        <v>777.74</v>
      </c>
      <c r="K51" s="5">
        <v>751.97</v>
      </c>
      <c r="L51" s="3">
        <f t="shared" si="16"/>
        <v>895.07000000000062</v>
      </c>
      <c r="M51" s="3">
        <f t="shared" si="1"/>
        <v>2424.7800000000007</v>
      </c>
      <c r="N51" s="27">
        <f>SUM(I51-M51)+G51</f>
        <v>4506.2299999999996</v>
      </c>
      <c r="O51" s="34"/>
      <c r="P51" s="35">
        <v>4506.2299999999996</v>
      </c>
    </row>
    <row r="52" spans="1:16" x14ac:dyDescent="0.25">
      <c r="A52" s="24" t="s">
        <v>35</v>
      </c>
      <c r="B52" s="19">
        <f>4927.52+650.43</f>
        <v>5577.9500000000007</v>
      </c>
      <c r="C52" s="45">
        <v>985.5</v>
      </c>
      <c r="D52" s="51"/>
      <c r="E52" s="51"/>
      <c r="F52" s="51"/>
      <c r="G52" s="51"/>
      <c r="H52" s="53"/>
      <c r="I52" s="16">
        <f t="shared" si="17"/>
        <v>6563.4500000000007</v>
      </c>
      <c r="J52" s="5">
        <v>676.66</v>
      </c>
      <c r="K52" s="5">
        <v>751.97</v>
      </c>
      <c r="L52" s="3">
        <f t="shared" si="16"/>
        <v>1500.7800000000007</v>
      </c>
      <c r="M52" s="3">
        <f t="shared" si="1"/>
        <v>2929.4100000000008</v>
      </c>
      <c r="N52" s="27">
        <f>SUM(I52-M52)+G52</f>
        <v>3634.04</v>
      </c>
      <c r="O52" s="34"/>
      <c r="P52" s="35">
        <v>3634.04</v>
      </c>
    </row>
    <row r="53" spans="1:16" x14ac:dyDescent="0.25">
      <c r="A53" s="24" t="s">
        <v>36</v>
      </c>
      <c r="B53" s="19">
        <v>4183.3999999999996</v>
      </c>
      <c r="C53" s="45"/>
      <c r="D53" s="51"/>
      <c r="E53" s="51"/>
      <c r="F53" s="51"/>
      <c r="G53" s="51"/>
      <c r="H53" s="53"/>
      <c r="I53" s="16">
        <f t="shared" si="17"/>
        <v>4183.3999999999996</v>
      </c>
      <c r="J53" s="5">
        <v>150.29</v>
      </c>
      <c r="K53" s="5">
        <v>436.95</v>
      </c>
      <c r="L53" s="3">
        <f t="shared" si="16"/>
        <v>669.98</v>
      </c>
      <c r="M53" s="3">
        <f t="shared" si="1"/>
        <v>1257.22</v>
      </c>
      <c r="N53" s="27">
        <f t="shared" si="2"/>
        <v>2926.1799999999994</v>
      </c>
      <c r="O53" s="34"/>
      <c r="P53" s="35">
        <v>2926.18</v>
      </c>
    </row>
    <row r="54" spans="1:16" x14ac:dyDescent="0.25">
      <c r="A54" s="24" t="s">
        <v>71</v>
      </c>
      <c r="B54" s="19">
        <v>2433.34</v>
      </c>
      <c r="C54" s="45"/>
      <c r="D54" s="51"/>
      <c r="E54" s="51"/>
      <c r="F54" s="51"/>
      <c r="G54" s="51"/>
      <c r="H54" s="53"/>
      <c r="I54" s="16">
        <f t="shared" si="17"/>
        <v>2433.34</v>
      </c>
      <c r="J54" s="5">
        <v>24</v>
      </c>
      <c r="K54" s="5">
        <v>209.39</v>
      </c>
      <c r="L54" s="3">
        <f t="shared" si="16"/>
        <v>6.1200000000003456</v>
      </c>
      <c r="M54" s="3">
        <f t="shared" si="1"/>
        <v>239.51000000000033</v>
      </c>
      <c r="N54" s="27">
        <f t="shared" si="2"/>
        <v>2193.83</v>
      </c>
      <c r="O54" s="34"/>
      <c r="P54" s="35">
        <v>2193.83</v>
      </c>
    </row>
    <row r="55" spans="1:16" x14ac:dyDescent="0.25">
      <c r="A55" s="24" t="s">
        <v>37</v>
      </c>
      <c r="B55" s="19">
        <f>12454.51+9465.43</f>
        <v>21919.940000000002</v>
      </c>
      <c r="C55" s="45">
        <v>12454.51</v>
      </c>
      <c r="D55" s="51"/>
      <c r="E55" s="51"/>
      <c r="F55" s="51"/>
      <c r="G55" s="51"/>
      <c r="H55" s="53"/>
      <c r="I55" s="16">
        <f t="shared" si="17"/>
        <v>34374.450000000004</v>
      </c>
      <c r="J55" s="5">
        <v>8376.82</v>
      </c>
      <c r="K55" s="5">
        <v>751.97</v>
      </c>
      <c r="L55" s="3">
        <f t="shared" si="16"/>
        <v>303.2300000000032</v>
      </c>
      <c r="M55" s="3">
        <f t="shared" si="1"/>
        <v>9432.0200000000023</v>
      </c>
      <c r="N55" s="27">
        <f t="shared" si="2"/>
        <v>24942.43</v>
      </c>
      <c r="O55" s="34"/>
      <c r="P55" s="35">
        <v>24942.43</v>
      </c>
    </row>
    <row r="56" spans="1:16" x14ac:dyDescent="0.25">
      <c r="A56" s="24" t="s">
        <v>38</v>
      </c>
      <c r="B56" s="19">
        <f>4106.27+591.3</f>
        <v>4697.5700000000006</v>
      </c>
      <c r="C56" s="45">
        <v>821.25</v>
      </c>
      <c r="D56" s="51"/>
      <c r="E56" s="51">
        <f>164.25+821.25+118.26+367.92</f>
        <v>1471.68</v>
      </c>
      <c r="F56" s="51"/>
      <c r="G56" s="51"/>
      <c r="H56" s="53"/>
      <c r="I56" s="16">
        <f t="shared" si="17"/>
        <v>6990.5000000000009</v>
      </c>
      <c r="J56" s="5">
        <v>421.5</v>
      </c>
      <c r="K56" s="5">
        <f>635.2+116.77</f>
        <v>751.97</v>
      </c>
      <c r="L56" s="3">
        <f t="shared" si="16"/>
        <v>1575.7800000000007</v>
      </c>
      <c r="M56" s="3">
        <f t="shared" si="1"/>
        <v>2749.2500000000009</v>
      </c>
      <c r="N56" s="27">
        <f t="shared" si="2"/>
        <v>4241.25</v>
      </c>
      <c r="O56" s="34"/>
      <c r="P56" s="35">
        <v>4241.25</v>
      </c>
    </row>
    <row r="57" spans="1:16" x14ac:dyDescent="0.25">
      <c r="A57" s="24" t="s">
        <v>39</v>
      </c>
      <c r="B57" s="19">
        <v>5515.73</v>
      </c>
      <c r="C57" s="45"/>
      <c r="D57" s="51"/>
      <c r="E57" s="51"/>
      <c r="F57" s="51"/>
      <c r="G57" s="51"/>
      <c r="H57" s="53"/>
      <c r="I57" s="16">
        <f t="shared" si="17"/>
        <v>5515.73</v>
      </c>
      <c r="J57" s="5">
        <v>423.87</v>
      </c>
      <c r="K57" s="5">
        <v>623.48</v>
      </c>
      <c r="L57" s="3">
        <f t="shared" si="16"/>
        <v>775.33999999999924</v>
      </c>
      <c r="M57" s="3">
        <f t="shared" si="1"/>
        <v>1822.6899999999991</v>
      </c>
      <c r="N57" s="27">
        <f t="shared" si="2"/>
        <v>3693.0400000000004</v>
      </c>
      <c r="O57" s="34"/>
      <c r="P57" s="35">
        <v>3693.04</v>
      </c>
    </row>
    <row r="58" spans="1:16" x14ac:dyDescent="0.25">
      <c r="A58" s="24" t="s">
        <v>63</v>
      </c>
      <c r="B58" s="19">
        <v>1881.14</v>
      </c>
      <c r="C58" s="45"/>
      <c r="D58" s="51"/>
      <c r="E58" s="51"/>
      <c r="F58" s="51"/>
      <c r="G58" s="51"/>
      <c r="H58" s="53"/>
      <c r="I58" s="16">
        <f t="shared" si="17"/>
        <v>1881.14</v>
      </c>
      <c r="J58" s="5"/>
      <c r="K58" s="5">
        <v>152.80000000000001</v>
      </c>
      <c r="L58" s="3">
        <f t="shared" ref="L58" si="18">I58-J58-K58-P58</f>
        <v>6.1200000000001182</v>
      </c>
      <c r="M58" s="3">
        <f t="shared" ref="M58" si="19">SUM(J58:L58)</f>
        <v>158.92000000000013</v>
      </c>
      <c r="N58" s="27">
        <f t="shared" ref="N58" si="20">SUM(I58-M58)</f>
        <v>1722.22</v>
      </c>
      <c r="O58" s="34"/>
      <c r="P58" s="35">
        <v>1722.22</v>
      </c>
    </row>
    <row r="59" spans="1:16" x14ac:dyDescent="0.25">
      <c r="A59" s="24" t="s">
        <v>40</v>
      </c>
      <c r="B59" s="19">
        <f>11980.55+4025.46</f>
        <v>16006.009999999998</v>
      </c>
      <c r="C59" s="45">
        <v>2396.11</v>
      </c>
      <c r="D59" s="51"/>
      <c r="E59" s="51"/>
      <c r="F59" s="51"/>
      <c r="G59" s="51"/>
      <c r="H59" s="53"/>
      <c r="I59" s="16">
        <f t="shared" si="17"/>
        <v>18402.12</v>
      </c>
      <c r="J59" s="5">
        <v>3984.43</v>
      </c>
      <c r="K59" s="5">
        <v>751.97</v>
      </c>
      <c r="L59" s="3">
        <f t="shared" si="16"/>
        <v>6.1199999999989814</v>
      </c>
      <c r="M59" s="3">
        <f t="shared" si="1"/>
        <v>4742.5199999999986</v>
      </c>
      <c r="N59" s="27">
        <f>SUM(I59-M59)+G59</f>
        <v>13659.6</v>
      </c>
      <c r="O59" s="34"/>
      <c r="P59" s="35">
        <v>13659.6</v>
      </c>
    </row>
    <row r="60" spans="1:16" x14ac:dyDescent="0.25">
      <c r="A60" s="24" t="s">
        <v>41</v>
      </c>
      <c r="B60" s="19">
        <v>2160.0700000000002</v>
      </c>
      <c r="C60" s="45"/>
      <c r="D60" s="51"/>
      <c r="E60" s="51"/>
      <c r="F60" s="51"/>
      <c r="G60" s="51"/>
      <c r="H60" s="53"/>
      <c r="I60" s="16">
        <f t="shared" si="17"/>
        <v>2160.0700000000002</v>
      </c>
      <c r="J60" s="5"/>
      <c r="K60" s="5">
        <v>177.9</v>
      </c>
      <c r="L60" s="3">
        <f t="shared" si="16"/>
        <v>35.550000000000182</v>
      </c>
      <c r="M60" s="3">
        <f t="shared" si="1"/>
        <v>213.45000000000019</v>
      </c>
      <c r="N60" s="27">
        <f t="shared" si="2"/>
        <v>1946.62</v>
      </c>
      <c r="O60" s="34"/>
      <c r="P60" s="35">
        <v>1946.62</v>
      </c>
    </row>
    <row r="61" spans="1:16" x14ac:dyDescent="0.25">
      <c r="A61" s="24" t="s">
        <v>42</v>
      </c>
      <c r="B61" s="19">
        <f>10377.23+3860.33</f>
        <v>14237.56</v>
      </c>
      <c r="C61" s="45">
        <v>2075.4499999999998</v>
      </c>
      <c r="D61" s="51"/>
      <c r="E61" s="51"/>
      <c r="F61" s="51"/>
      <c r="G61" s="51"/>
      <c r="H61" s="53"/>
      <c r="I61" s="16">
        <f t="shared" si="17"/>
        <v>16313.009999999998</v>
      </c>
      <c r="J61" s="5">
        <v>3357.79</v>
      </c>
      <c r="K61" s="5">
        <v>751.97</v>
      </c>
      <c r="L61" s="3">
        <f t="shared" si="16"/>
        <v>1442.7999999999975</v>
      </c>
      <c r="M61" s="3">
        <f t="shared" si="1"/>
        <v>5552.5599999999977</v>
      </c>
      <c r="N61" s="27">
        <f>SUM(I61-M61)+G61</f>
        <v>10760.45</v>
      </c>
      <c r="O61" s="34"/>
      <c r="P61" s="35">
        <v>10760.45</v>
      </c>
    </row>
    <row r="62" spans="1:16" x14ac:dyDescent="0.25">
      <c r="A62" s="24" t="s">
        <v>43</v>
      </c>
      <c r="B62" s="19">
        <v>4993.3999999999996</v>
      </c>
      <c r="C62" s="45"/>
      <c r="D62" s="51"/>
      <c r="E62" s="51"/>
      <c r="F62" s="51"/>
      <c r="G62" s="51"/>
      <c r="H62" s="53"/>
      <c r="I62" s="16">
        <f t="shared" si="17"/>
        <v>4993.3999999999996</v>
      </c>
      <c r="J62" s="5">
        <v>320.89999999999998</v>
      </c>
      <c r="K62" s="5">
        <v>550.35</v>
      </c>
      <c r="L62" s="3">
        <f t="shared" si="16"/>
        <v>1928.7799999999997</v>
      </c>
      <c r="M62" s="3">
        <f t="shared" si="1"/>
        <v>2800.0299999999997</v>
      </c>
      <c r="N62" s="27">
        <f t="shared" si="2"/>
        <v>2193.37</v>
      </c>
      <c r="O62" s="34"/>
      <c r="P62" s="35">
        <v>2193.37</v>
      </c>
    </row>
    <row r="63" spans="1:16" x14ac:dyDescent="0.25">
      <c r="A63" s="24" t="s">
        <v>44</v>
      </c>
      <c r="B63" s="19">
        <v>2025.79</v>
      </c>
      <c r="C63" s="45"/>
      <c r="D63" s="51"/>
      <c r="E63" s="51"/>
      <c r="F63" s="51"/>
      <c r="G63" s="51"/>
      <c r="H63" s="53"/>
      <c r="I63" s="16">
        <f t="shared" si="17"/>
        <v>2025.79</v>
      </c>
      <c r="J63" s="5"/>
      <c r="K63" s="5">
        <v>165.82</v>
      </c>
      <c r="L63" s="3">
        <f t="shared" si="16"/>
        <v>82.970000000000027</v>
      </c>
      <c r="M63" s="3">
        <f t="shared" si="1"/>
        <v>248.79000000000002</v>
      </c>
      <c r="N63" s="27">
        <f t="shared" si="2"/>
        <v>1777</v>
      </c>
      <c r="O63" s="34"/>
      <c r="P63" s="35">
        <v>1777</v>
      </c>
    </row>
    <row r="64" spans="1:16" x14ac:dyDescent="0.25">
      <c r="A64" s="24" t="s">
        <v>72</v>
      </c>
      <c r="B64" s="19">
        <v>4033.32</v>
      </c>
      <c r="C64" s="45"/>
      <c r="D64" s="51"/>
      <c r="E64" s="51"/>
      <c r="F64" s="51"/>
      <c r="G64" s="51"/>
      <c r="H64" s="53"/>
      <c r="I64" s="16">
        <f t="shared" si="17"/>
        <v>4033.32</v>
      </c>
      <c r="J64" s="5">
        <v>187.81</v>
      </c>
      <c r="K64" s="5">
        <v>415.94</v>
      </c>
      <c r="L64" s="3">
        <f t="shared" ref="L64" si="21">I64-J64-K64-P64</f>
        <v>1057.5500000000002</v>
      </c>
      <c r="M64" s="3">
        <f t="shared" ref="M64" si="22">SUM(J64:L64)</f>
        <v>1661.3000000000002</v>
      </c>
      <c r="N64" s="27">
        <f t="shared" ref="N64" si="23">SUM(I64-M64)</f>
        <v>2372.02</v>
      </c>
      <c r="O64" s="34"/>
      <c r="P64" s="35">
        <v>2372.02</v>
      </c>
    </row>
    <row r="65" spans="1:16" x14ac:dyDescent="0.25">
      <c r="A65" s="24" t="s">
        <v>70</v>
      </c>
      <c r="B65" s="19">
        <f>1755.42+17.55</f>
        <v>1772.97</v>
      </c>
      <c r="C65" s="45"/>
      <c r="D65" s="51"/>
      <c r="E65" s="51"/>
      <c r="F65" s="51"/>
      <c r="G65" s="51"/>
      <c r="H65" s="53"/>
      <c r="I65" s="16">
        <f t="shared" si="17"/>
        <v>1772.97</v>
      </c>
      <c r="J65" s="5"/>
      <c r="K65" s="5">
        <v>143.06</v>
      </c>
      <c r="L65" s="3">
        <f t="shared" ref="L65" si="24">I65-J65-K65-P65</f>
        <v>131.41000000000008</v>
      </c>
      <c r="M65" s="3">
        <f t="shared" ref="M65" si="25">SUM(J65:L65)</f>
        <v>274.47000000000008</v>
      </c>
      <c r="N65" s="27">
        <f t="shared" ref="N65" si="26">SUM(I65-M65)</f>
        <v>1498.5</v>
      </c>
      <c r="O65" s="34"/>
      <c r="P65" s="35">
        <v>1498.5</v>
      </c>
    </row>
    <row r="66" spans="1:16" ht="15.75" thickBot="1" x14ac:dyDescent="0.3">
      <c r="A66" s="25" t="s">
        <v>45</v>
      </c>
      <c r="B66" s="20">
        <f>8015.71+1154.26</f>
        <v>9169.9699999999993</v>
      </c>
      <c r="C66" s="48">
        <v>1603.14</v>
      </c>
      <c r="D66" s="54"/>
      <c r="E66" s="54"/>
      <c r="F66" s="54"/>
      <c r="G66" s="54"/>
      <c r="H66" s="55">
        <v>3280.99</v>
      </c>
      <c r="I66" s="17">
        <f>SUM(B66:H66)</f>
        <v>14054.099999999999</v>
      </c>
      <c r="J66" s="13">
        <v>2736.59</v>
      </c>
      <c r="K66" s="13">
        <v>751.97</v>
      </c>
      <c r="L66" s="14">
        <f t="shared" si="16"/>
        <v>68.919999999998254</v>
      </c>
      <c r="M66" s="14">
        <f t="shared" si="1"/>
        <v>3557.4799999999987</v>
      </c>
      <c r="N66" s="28">
        <f t="shared" si="2"/>
        <v>10496.619999999999</v>
      </c>
      <c r="O66" s="34"/>
      <c r="P66" s="35">
        <v>10496.62</v>
      </c>
    </row>
    <row r="67" spans="1:16" ht="15.75" thickBot="1" x14ac:dyDescent="0.3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6" x14ac:dyDescent="0.25">
      <c r="A68" s="60" t="s">
        <v>84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2"/>
    </row>
    <row r="69" spans="1:16" x14ac:dyDescent="0.25">
      <c r="A69" s="74" t="s">
        <v>82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6"/>
    </row>
    <row r="70" spans="1:16" ht="5.25" customHeight="1" x14ac:dyDescent="0.25">
      <c r="A70" s="77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9"/>
    </row>
    <row r="71" spans="1:16" x14ac:dyDescent="0.25">
      <c r="A71" s="80" t="s">
        <v>83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2"/>
    </row>
    <row r="72" spans="1:16" x14ac:dyDescent="0.25">
      <c r="A72" s="83" t="s">
        <v>78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6" x14ac:dyDescent="0.25">
      <c r="A73" s="83" t="s">
        <v>79</v>
      </c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5"/>
    </row>
    <row r="74" spans="1:16" x14ac:dyDescent="0.25">
      <c r="A74" s="83" t="s">
        <v>80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</row>
    <row r="75" spans="1:16" ht="15.75" thickBot="1" x14ac:dyDescent="0.3">
      <c r="A75" s="57" t="s">
        <v>81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9"/>
    </row>
    <row r="76" spans="1:16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6" x14ac:dyDescent="0.25">
      <c r="A77" s="9"/>
      <c r="B77" s="7"/>
      <c r="C77" s="39"/>
      <c r="D77" s="7"/>
      <c r="E77" s="39"/>
      <c r="F77" s="39"/>
      <c r="G77" s="7"/>
      <c r="H77" s="7"/>
      <c r="I77" s="7"/>
      <c r="J77" s="7"/>
      <c r="K77" s="7"/>
      <c r="L77" s="7"/>
      <c r="M77" s="7"/>
      <c r="N77" s="7"/>
    </row>
    <row r="78" spans="1:16" x14ac:dyDescent="0.25">
      <c r="A78" s="8"/>
      <c r="B78" s="7"/>
      <c r="C78" s="39"/>
      <c r="D78" s="7"/>
      <c r="E78" s="39"/>
      <c r="F78" s="39"/>
      <c r="G78" s="7"/>
      <c r="H78" s="7"/>
      <c r="I78" s="7"/>
      <c r="J78" s="7"/>
      <c r="K78" s="7"/>
      <c r="L78" s="7"/>
      <c r="M78" s="7"/>
      <c r="N78" s="7"/>
    </row>
    <row r="79" spans="1:16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6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</sheetData>
  <mergeCells count="26"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  <mergeCell ref="A69:N69"/>
    <mergeCell ref="A70:N70"/>
    <mergeCell ref="A71:N71"/>
    <mergeCell ref="A72:N72"/>
    <mergeCell ref="A74:N74"/>
    <mergeCell ref="A73:N73"/>
    <mergeCell ref="A68:N68"/>
    <mergeCell ref="A44:A45"/>
    <mergeCell ref="B44:B45"/>
    <mergeCell ref="J44:J45"/>
    <mergeCell ref="K44:K45"/>
    <mergeCell ref="D44:D45"/>
    <mergeCell ref="A67:N67"/>
    <mergeCell ref="C44:C45"/>
    <mergeCell ref="E44:E45"/>
    <mergeCell ref="A75:N75"/>
  </mergeCells>
  <pageMargins left="0.25" right="0.25" top="0.75" bottom="0.75" header="0.3" footer="0.3"/>
  <pageSetup paperSize="9" scale="62" orientation="landscape" r:id="rId1"/>
  <rowBreaks count="1" manualBreakCount="1">
    <brk id="4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2021-01-27T11:29:00Z</cp:lastPrinted>
  <dcterms:created xsi:type="dcterms:W3CDTF">2016-04-28T12:49:34Z</dcterms:created>
  <dcterms:modified xsi:type="dcterms:W3CDTF">2022-01-27T12:28:39Z</dcterms:modified>
</cp:coreProperties>
</file>