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4 - FOLHA DE PAGAMENTO 2023\FOLHAS DE PAGAMENTO\PORTAL DA TRANSPARÊNCIA\08-AGOSTO\"/>
    </mc:Choice>
  </mc:AlternateContent>
  <xr:revisionPtr revIDLastSave="0" documentId="13_ncr:1_{7422099D-DFF2-4DED-BF24-8CBD4E89F4E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es" sheetId="6" r:id="rId1"/>
  </sheets>
  <definedNames>
    <definedName name="_xlnm.Print_Area" localSheetId="0">mes!$A$1:$P$71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3" i="6" l="1"/>
  <c r="M61" i="6"/>
  <c r="G61" i="6"/>
  <c r="F61" i="6"/>
  <c r="C61" i="6"/>
  <c r="M57" i="6"/>
  <c r="F57" i="6"/>
  <c r="C57" i="6"/>
  <c r="M54" i="6"/>
  <c r="F54" i="6"/>
  <c r="C54" i="6"/>
  <c r="C53" i="6"/>
  <c r="C52" i="6"/>
  <c r="M50" i="6"/>
  <c r="L50" i="6"/>
  <c r="F50" i="6"/>
  <c r="C50" i="6"/>
  <c r="C47" i="6"/>
  <c r="C45" i="6"/>
  <c r="C44" i="6"/>
  <c r="C40" i="6"/>
  <c r="C38" i="6"/>
  <c r="D38" i="6"/>
  <c r="C37" i="6"/>
  <c r="C34" i="6"/>
  <c r="C29" i="6"/>
  <c r="C19" i="6"/>
  <c r="D14" i="6"/>
  <c r="C12" i="6"/>
  <c r="C7" i="6"/>
  <c r="M19" i="6"/>
  <c r="C59" i="6"/>
  <c r="C55" i="6"/>
  <c r="M53" i="6"/>
  <c r="M52" i="6"/>
  <c r="M49" i="6"/>
  <c r="M47" i="6"/>
  <c r="C46" i="6"/>
  <c r="C42" i="6"/>
  <c r="C41" i="6"/>
  <c r="M37" i="6"/>
  <c r="C35" i="6"/>
  <c r="C33" i="6"/>
  <c r="C32" i="6"/>
  <c r="M29" i="6"/>
  <c r="K30" i="6"/>
  <c r="N30" i="6" s="1"/>
  <c r="O30" i="6" s="1"/>
  <c r="P30" i="6" s="1"/>
  <c r="K29" i="6"/>
  <c r="N29" i="6" s="1"/>
  <c r="O29" i="6" s="1"/>
  <c r="P29" i="6" s="1"/>
  <c r="C28" i="6"/>
  <c r="C27" i="6"/>
  <c r="C26" i="6"/>
  <c r="C25" i="6"/>
  <c r="C24" i="6"/>
  <c r="C23" i="6"/>
  <c r="C17" i="6"/>
  <c r="C16" i="6"/>
  <c r="D15" i="6"/>
  <c r="C15" i="6"/>
  <c r="C14" i="6"/>
  <c r="C10" i="6"/>
  <c r="C9" i="6"/>
  <c r="C8" i="6"/>
  <c r="K20" i="6"/>
  <c r="N20" i="6"/>
  <c r="K62" i="6"/>
  <c r="N62" i="6" s="1"/>
  <c r="O62" i="6" s="1"/>
  <c r="P62" i="6" s="1"/>
  <c r="K58" i="6"/>
  <c r="N58" i="6" s="1"/>
  <c r="O58" i="6" s="1"/>
  <c r="K48" i="6"/>
  <c r="N48" i="6" s="1"/>
  <c r="O48" i="6" s="1"/>
  <c r="P48" i="6" s="1"/>
  <c r="K43" i="6"/>
  <c r="N43" i="6" s="1"/>
  <c r="O43" i="6" s="1"/>
  <c r="P43" i="6" s="1"/>
  <c r="K36" i="6"/>
  <c r="N36" i="6" s="1"/>
  <c r="O36" i="6" s="1"/>
  <c r="P36" i="6" s="1"/>
  <c r="K22" i="6"/>
  <c r="K11" i="6"/>
  <c r="O20" i="6" l="1"/>
  <c r="P20" i="6" s="1"/>
  <c r="P58" i="6"/>
  <c r="N22" i="6"/>
  <c r="O22" i="6" s="1"/>
  <c r="P22" i="6" s="1"/>
  <c r="N11" i="6"/>
  <c r="O11" i="6" s="1"/>
  <c r="P11" i="6" s="1"/>
  <c r="K57" i="6"/>
  <c r="K63" i="6" l="1"/>
  <c r="K45" i="6"/>
  <c r="N57" i="6"/>
  <c r="O57" i="6" s="1"/>
  <c r="P57" i="6" s="1"/>
  <c r="K14" i="6"/>
  <c r="K10" i="6"/>
  <c r="N10" i="6" s="1"/>
  <c r="O10" i="6" s="1"/>
  <c r="P10" i="6" s="1"/>
  <c r="N14" i="6" l="1"/>
  <c r="O14" i="6" s="1"/>
  <c r="P14" i="6" s="1"/>
  <c r="K55" i="6" l="1"/>
  <c r="K47" i="6"/>
  <c r="K46" i="6"/>
  <c r="K44" i="6"/>
  <c r="K35" i="6"/>
  <c r="K49" i="6"/>
  <c r="K51" i="6"/>
  <c r="K52" i="6"/>
  <c r="K53" i="6"/>
  <c r="K54" i="6"/>
  <c r="K56" i="6"/>
  <c r="K59" i="6"/>
  <c r="K60" i="6"/>
  <c r="K61" i="6"/>
  <c r="K42" i="6"/>
  <c r="K41" i="6"/>
  <c r="K31" i="6"/>
  <c r="K32" i="6"/>
  <c r="K33" i="6"/>
  <c r="K34" i="6"/>
  <c r="K37" i="6"/>
  <c r="K38" i="6"/>
  <c r="K39" i="6"/>
  <c r="K40" i="6"/>
  <c r="K8" i="6"/>
  <c r="K9" i="6"/>
  <c r="K12" i="6"/>
  <c r="K13" i="6"/>
  <c r="K16" i="6"/>
  <c r="K17" i="6"/>
  <c r="K18" i="6"/>
  <c r="K19" i="6"/>
  <c r="K21" i="6"/>
  <c r="K23" i="6"/>
  <c r="K24" i="6"/>
  <c r="K25" i="6"/>
  <c r="K26" i="6"/>
  <c r="K27" i="6"/>
  <c r="K28" i="6"/>
  <c r="K7" i="6"/>
  <c r="K50" i="6" l="1"/>
  <c r="K15" i="6"/>
  <c r="N61" i="6" l="1"/>
  <c r="O61" i="6" s="1"/>
  <c r="P61" i="6" s="1"/>
  <c r="N32" i="6" l="1"/>
  <c r="O32" i="6" s="1"/>
  <c r="P32" i="6" s="1"/>
  <c r="N9" i="6" l="1"/>
  <c r="O9" i="6" s="1"/>
  <c r="P9" i="6" s="1"/>
  <c r="N39" i="6" l="1"/>
  <c r="O39" i="6" s="1"/>
  <c r="P39" i="6" s="1"/>
  <c r="N54" i="6" l="1"/>
  <c r="O54" i="6" s="1"/>
  <c r="P54" i="6" s="1"/>
  <c r="N16" i="6" l="1"/>
  <c r="O16" i="6" s="1"/>
  <c r="P16" i="6" s="1"/>
  <c r="N13" i="6" l="1"/>
  <c r="O13" i="6" s="1"/>
  <c r="P13" i="6" s="1"/>
  <c r="N63" i="6"/>
  <c r="O63" i="6" s="1"/>
  <c r="P63" i="6" s="1"/>
  <c r="N56" i="6"/>
  <c r="O56" i="6" s="1"/>
  <c r="N53" i="6"/>
  <c r="O53" i="6" s="1"/>
  <c r="P53" i="6" s="1"/>
  <c r="N52" i="6"/>
  <c r="O52" i="6" s="1"/>
  <c r="P52" i="6" s="1"/>
  <c r="N51" i="6"/>
  <c r="O51" i="6" s="1"/>
  <c r="N47" i="6"/>
  <c r="O47" i="6" s="1"/>
  <c r="N46" i="6"/>
  <c r="O46" i="6" s="1"/>
  <c r="N45" i="6"/>
  <c r="O45" i="6" s="1"/>
  <c r="P45" i="6" s="1"/>
  <c r="N41" i="6"/>
  <c r="O41" i="6" s="1"/>
  <c r="P41" i="6" s="1"/>
  <c r="N37" i="6"/>
  <c r="O37" i="6" s="1"/>
  <c r="P37" i="6" s="1"/>
  <c r="N35" i="6"/>
  <c r="O35" i="6" s="1"/>
  <c r="P35" i="6" s="1"/>
  <c r="N34" i="6"/>
  <c r="O34" i="6" s="1"/>
  <c r="P34" i="6" s="1"/>
  <c r="N31" i="6"/>
  <c r="O31" i="6" s="1"/>
  <c r="P31" i="6" s="1"/>
  <c r="N28" i="6"/>
  <c r="O28" i="6" s="1"/>
  <c r="P28" i="6" s="1"/>
  <c r="N26" i="6"/>
  <c r="O26" i="6" s="1"/>
  <c r="P26" i="6" s="1"/>
  <c r="N25" i="6"/>
  <c r="O25" i="6" s="1"/>
  <c r="P25" i="6" s="1"/>
  <c r="N24" i="6"/>
  <c r="O24" i="6" s="1"/>
  <c r="P24" i="6" s="1"/>
  <c r="N23" i="6"/>
  <c r="O23" i="6" s="1"/>
  <c r="P23" i="6" s="1"/>
  <c r="N19" i="6"/>
  <c r="O19" i="6" s="1"/>
  <c r="P19" i="6" s="1"/>
  <c r="N7" i="6"/>
  <c r="O7" i="6" s="1"/>
  <c r="P7" i="6" s="1"/>
  <c r="N44" i="6" l="1"/>
  <c r="O44" i="6" s="1"/>
  <c r="P44" i="6" s="1"/>
  <c r="N8" i="6"/>
  <c r="N60" i="6"/>
  <c r="O60" i="6" s="1"/>
  <c r="P60" i="6" s="1"/>
  <c r="N17" i="6"/>
  <c r="O17" i="6" s="1"/>
  <c r="P17" i="6" s="1"/>
  <c r="N55" i="6"/>
  <c r="O55" i="6" s="1"/>
  <c r="P55" i="6" s="1"/>
  <c r="N49" i="6"/>
  <c r="N50" i="6"/>
  <c r="O50" i="6" s="1"/>
  <c r="P50" i="6" s="1"/>
  <c r="N59" i="6"/>
  <c r="O59" i="6" s="1"/>
  <c r="P59" i="6" s="1"/>
  <c r="N12" i="6"/>
  <c r="O12" i="6" s="1"/>
  <c r="P12" i="6" s="1"/>
  <c r="N33" i="6"/>
  <c r="O33" i="6" s="1"/>
  <c r="P33" i="6" s="1"/>
  <c r="N27" i="6"/>
  <c r="O27" i="6" s="1"/>
  <c r="P27" i="6" s="1"/>
  <c r="N38" i="6"/>
  <c r="O38" i="6" s="1"/>
  <c r="P38" i="6" s="1"/>
  <c r="N42" i="6"/>
  <c r="O42" i="6" s="1"/>
  <c r="P42" i="6" s="1"/>
  <c r="N21" i="6"/>
  <c r="O21" i="6" s="1"/>
  <c r="P21" i="6" s="1"/>
  <c r="N18" i="6"/>
  <c r="O18" i="6" s="1"/>
  <c r="P18" i="6" s="1"/>
  <c r="N15" i="6"/>
  <c r="O15" i="6" s="1"/>
  <c r="P15" i="6" s="1"/>
  <c r="P47" i="6"/>
  <c r="P46" i="6"/>
  <c r="P51" i="6"/>
  <c r="N40" i="6"/>
  <c r="O40" i="6" s="1"/>
  <c r="P40" i="6" s="1"/>
  <c r="P56" i="6"/>
  <c r="O49" i="6" l="1"/>
  <c r="O8" i="6"/>
  <c r="P49" i="6" l="1"/>
  <c r="P8" i="6"/>
</calcChain>
</file>

<file path=xl/sharedStrings.xml><?xml version="1.0" encoding="utf-8"?>
<sst xmlns="http://schemas.openxmlformats.org/spreadsheetml/2006/main" count="89" uniqueCount="87">
  <si>
    <t>ADRIANA IAIZZO MAGALHAES</t>
  </si>
  <si>
    <t>ALBERTO AUGUSTO SPITZ</t>
  </si>
  <si>
    <t>ATILA COLONIA CUNNINGHAM</t>
  </si>
  <si>
    <t>BERNADETE DOS SANTOS GONCALVES</t>
  </si>
  <si>
    <t>CELITA ZAIDOVICZ PALTANIN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</si>
  <si>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</si>
  <si>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</si>
  <si>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</si>
  <si>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</si>
  <si>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</si>
  <si>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</si>
  <si>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</si>
  <si>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</si>
  <si>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JAQUELINE ANDREIA FORNAZARI KOHLER</t>
  </si>
  <si>
    <t>JEFERSON LUIZ LUCASKI</t>
  </si>
  <si>
    <t>JERUZA FERNANDES MOURA BURGES</t>
  </si>
  <si>
    <t>JOAO WARDZINSKI</t>
  </si>
  <si>
    <t>LAURA POTIRA MOREIRA DE SOUZA</t>
  </si>
  <si>
    <t>LUCIANA CRISTINA CORRER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</si>
  <si>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</si>
  <si>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</si>
  <si>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</si>
  <si>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</si>
  <si>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</si>
  <si>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</si>
  <si>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</si>
  <si>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</si>
  <si>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</si>
  <si>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</si>
  <si>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</si>
  <si>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</si>
  <si>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RAFAEL MARCOS AMARAL</t>
  </si>
  <si>
    <t>ROGERS SILVA GARCEZ DAS NEVES</t>
  </si>
  <si>
    <t>RONALDO VELOSO DE ALCANTARA</t>
  </si>
  <si>
    <t>ROSANA APARECIDA SILVA CARDOSO</t>
  </si>
  <si>
    <t>VALDAIR DE SOUZA</t>
  </si>
  <si>
    <t>VALMIR CORREA DOS SANTOS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</si>
  <si>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</si>
  <si>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</si>
  <si>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</si>
  <si>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</si>
  <si>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</si>
  <si>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</si>
  <si>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</si>
  <si>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</si>
  <si>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</si>
  <si>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</si>
  <si>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</si>
  <si>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</si>
  <si>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</si>
  <si>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</si>
  <si>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 xml:space="preserve">Honorário de </t>
  </si>
  <si>
    <t>Sucumbência</t>
  </si>
  <si>
    <t>13º Salário</t>
  </si>
  <si>
    <t>RONALD AURELIO KOCHOLIK</t>
  </si>
  <si>
    <t>MARCIA PORDEUS TORRES</t>
  </si>
  <si>
    <t>ALISSON BOBATO DALSANTO</t>
  </si>
  <si>
    <t>KARIN OLIVEIRA SILVA</t>
  </si>
  <si>
    <t>MAIRÊ APARECIDA DAHLEM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</si>
  <si>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</si>
  <si>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</si>
  <si>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</si>
  <si>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</si>
  <si>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</si>
  <si>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</si>
  <si>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</si>
  <si>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 e pelo aperfeiçoamento.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</si>
  <si>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</si>
  <si>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</si>
  <si>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Indenização</t>
  </si>
  <si>
    <t>PDV</t>
  </si>
  <si>
    <t>CARLOS ALBERTO JUNGLES DE CAMARGO</t>
  </si>
  <si>
    <t>SARA EMMANUELLE MARTINS SCARPETTA</t>
  </si>
  <si>
    <t>ANA PAULA ANBIEL GAIGNER</t>
  </si>
  <si>
    <t>IRAN LUIZ CORDEIRO</t>
  </si>
  <si>
    <t>ANNE KAROLYNE CABRAL FORTUNATO</t>
  </si>
  <si>
    <t>GABRIEL ALVES FONSECA</t>
  </si>
  <si>
    <t>MAICON ALLAN MARTINS GADIOLI</t>
  </si>
  <si>
    <t>MARILIZA MIOTTO</t>
  </si>
  <si>
    <t>MURILO GRAZIANI</t>
  </si>
  <si>
    <t>SIBELLI CRISTINA SABINO</t>
  </si>
  <si>
    <t>VINICIUS HERRERA FRANCESCHINI</t>
  </si>
  <si>
    <t>FERNANDA FERRARI ZRZEBIELA</t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</si>
  <si>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consignados, plano de saúde, alimentação/refeição, vale transporte, pensão alimentícia, entre outros.</t>
    </r>
  </si>
  <si>
    <t>É concedido a todos os funcionários o Auxílio alimentação, subdividido em duas modalidades: Cesta básica no valor de R$ 638,00 por mês e o Vale refeição no valor diário de R$ 29,00, num  total de 22 vales por mês.</t>
  </si>
  <si>
    <t>JESSICA ROMANI</t>
  </si>
  <si>
    <t>AGOSTO/2023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</si>
</sst>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8">
    <xf numFmtId="0" fontId="0" fillId="0" borderId="0" xfId="0"/>
    <xf numFmtId="164" fontId="0" fillId="0" borderId="0" xfId="0" applyNumberFormat="1"/>
    <xf numFmtId="164" fontId="0" fillId="0" borderId="3" xfId="0" applyNumberFormat="1" applyBorder="1"/>
    <xf numFmtId="164" fontId="0" fillId="0" borderId="3" xfId="0" applyNumberFormat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9" fillId="0" borderId="2" xfId="0" applyFont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15" xfId="0" applyNumberFormat="1" applyBorder="1" applyProtection="1">
      <protection locked="0"/>
    </xf>
    <xf numFmtId="164" fontId="0" fillId="0" borderId="15" xfId="0" applyNumberFormat="1" applyBorder="1"/>
    <xf numFmtId="164" fontId="1" fillId="4" borderId="4" xfId="0" applyNumberFormat="1" applyFont="1" applyFill="1" applyBorder="1"/>
    <xf numFmtId="164" fontId="1" fillId="4" borderId="5" xfId="0" applyNumberFormat="1" applyFont="1" applyFill="1" applyBorder="1"/>
    <xf numFmtId="164" fontId="1" fillId="4" borderId="4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164" fontId="1" fillId="2" borderId="20" xfId="0" applyNumberFormat="1" applyFont="1" applyFill="1" applyBorder="1"/>
    <xf numFmtId="164" fontId="1" fillId="2" borderId="21" xfId="0" applyNumberFormat="1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0" xfId="0" applyFont="1"/>
    <xf numFmtId="44" fontId="1" fillId="3" borderId="0" xfId="1" applyFont="1" applyFill="1" applyProtection="1">
      <protection locked="0"/>
    </xf>
    <xf numFmtId="0" fontId="6" fillId="0" borderId="0" xfId="0" applyFont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0" borderId="24" xfId="0" applyNumberFormat="1" applyFont="1" applyBorder="1" applyProtection="1">
      <protection locked="0"/>
    </xf>
    <xf numFmtId="164" fontId="1" fillId="0" borderId="15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right"/>
      <protection locked="0"/>
    </xf>
    <xf numFmtId="164" fontId="1" fillId="0" borderId="15" xfId="0" applyNumberFormat="1" applyFont="1" applyBorder="1" applyAlignment="1" applyProtection="1">
      <alignment horizontal="right"/>
      <protection locked="0"/>
    </xf>
    <xf numFmtId="164" fontId="1" fillId="0" borderId="24" xfId="0" applyNumberFormat="1" applyFont="1" applyBorder="1" applyAlignment="1" applyProtection="1">
      <alignment horizontal="center"/>
      <protection locked="0"/>
    </xf>
    <xf numFmtId="0" fontId="0" fillId="0" borderId="25" xfId="0" applyBorder="1"/>
    <xf numFmtId="164" fontId="1" fillId="4" borderId="26" xfId="0" applyNumberFormat="1" applyFont="1" applyFill="1" applyBorder="1" applyProtection="1">
      <protection locked="0"/>
    </xf>
    <xf numFmtId="164" fontId="1" fillId="4" borderId="26" xfId="0" applyNumberFormat="1" applyFont="1" applyFill="1" applyBorder="1"/>
    <xf numFmtId="164" fontId="0" fillId="0" borderId="24" xfId="0" applyNumberFormat="1" applyBorder="1" applyProtection="1">
      <protection locked="0"/>
    </xf>
    <xf numFmtId="164" fontId="0" fillId="0" borderId="24" xfId="0" applyNumberFormat="1" applyBorder="1"/>
    <xf numFmtId="164" fontId="1" fillId="2" borderId="27" xfId="0" applyNumberFormat="1" applyFont="1" applyFill="1" applyBorder="1"/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49" fontId="1" fillId="3" borderId="22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/>
    </xf>
    <xf numFmtId="0" fontId="1" fillId="0" borderId="0" xfId="0" applyFont="1" applyProtection="1">
      <protection locked="0"/>
    </xf>
    <xf numFmtId="0" fontId="0" fillId="0" borderId="0" xfId="0" applyAlignment="1">
      <alignment horizontal="center"/>
    </xf>
    <xf numFmtId="164" fontId="2" fillId="0" borderId="0" xfId="0" applyNumberFormat="1" applyFont="1" applyAlignment="1" applyProtection="1">
      <alignment horizontal="left"/>
      <protection locked="0"/>
    </xf>
    <xf numFmtId="49" fontId="8" fillId="2" borderId="8" xfId="0" applyNumberFormat="1" applyFont="1" applyFill="1" applyBorder="1" applyAlignment="1">
      <alignment horizontal="center"/>
    </xf>
    <xf numFmtId="164" fontId="0" fillId="0" borderId="0" xfId="0" applyNumberFormat="1" applyProtection="1">
      <protection locked="0"/>
    </xf>
    <xf numFmtId="0" fontId="1" fillId="0" borderId="3" xfId="0" applyFont="1" applyBorder="1" applyProtection="1">
      <protection locked="0"/>
    </xf>
    <xf numFmtId="0" fontId="0" fillId="0" borderId="28" xfId="0" applyBorder="1"/>
    <xf numFmtId="164" fontId="1" fillId="4" borderId="29" xfId="0" applyNumberFormat="1" applyFont="1" applyFill="1" applyBorder="1" applyProtection="1">
      <protection locked="0"/>
    </xf>
    <xf numFmtId="164" fontId="1" fillId="0" borderId="30" xfId="0" applyNumberFormat="1" applyFont="1" applyBorder="1" applyProtection="1">
      <protection locked="0"/>
    </xf>
    <xf numFmtId="164" fontId="1" fillId="0" borderId="30" xfId="0" applyNumberFormat="1" applyFont="1" applyBorder="1" applyAlignment="1" applyProtection="1">
      <alignment horizontal="right"/>
      <protection locked="0"/>
    </xf>
    <xf numFmtId="164" fontId="0" fillId="0" borderId="30" xfId="0" applyNumberFormat="1" applyBorder="1" applyProtection="1">
      <protection locked="0"/>
    </xf>
    <xf numFmtId="0" fontId="0" fillId="4" borderId="13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14" xfId="0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12" fillId="4" borderId="11" xfId="0" applyFont="1" applyFill="1" applyBorder="1" applyAlignment="1" applyProtection="1">
      <alignment horizontal="left"/>
      <protection locked="0"/>
    </xf>
    <xf numFmtId="0" fontId="12" fillId="4" borderId="0" xfId="0" applyFont="1" applyFill="1" applyAlignment="1" applyProtection="1">
      <alignment horizontal="left"/>
      <protection locked="0"/>
    </xf>
    <xf numFmtId="0" fontId="12" fillId="4" borderId="12" xfId="0" applyFont="1" applyFill="1" applyBorder="1" applyAlignment="1" applyProtection="1">
      <alignment horizontal="left"/>
      <protection locked="0"/>
    </xf>
    <xf numFmtId="0" fontId="4" fillId="4" borderId="9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4" borderId="1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3" borderId="9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8"/>
  <sheetViews>
    <sheetView tabSelected="1" zoomScaleNormal="10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RowHeight="15" outlineLevelCol="1" x14ac:dyDescent="0.25"/>
  <cols>
    <col min="1" max="1" width="3.7109375" customWidth="1"/>
    <col min="2" max="2" width="45.42578125" customWidth="1"/>
    <col min="3" max="3" width="13.28515625" bestFit="1" customWidth="1"/>
    <col min="4" max="4" width="12.5703125" bestFit="1" customWidth="1"/>
    <col min="5" max="5" width="8.140625" bestFit="1" customWidth="1"/>
    <col min="6" max="6" width="11" bestFit="1" customWidth="1"/>
    <col min="7" max="7" width="16.85546875" bestFit="1" customWidth="1"/>
    <col min="8" max="8" width="13.5703125" customWidth="1"/>
    <col min="9" max="9" width="13.140625" bestFit="1" customWidth="1"/>
    <col min="10" max="10" width="11.5703125" bestFit="1" customWidth="1"/>
    <col min="11" max="11" width="12.85546875" bestFit="1" customWidth="1"/>
    <col min="12" max="12" width="10.7109375" bestFit="1" customWidth="1"/>
    <col min="13" max="13" width="10.7109375" customWidth="1"/>
    <col min="14" max="16" width="10.5703125" bestFit="1" customWidth="1"/>
    <col min="17" max="17" width="1.42578125" customWidth="1"/>
    <col min="18" max="18" width="15.85546875" customWidth="1" outlineLevel="1"/>
  </cols>
  <sheetData>
    <row r="1" spans="1:19" ht="16.5" x14ac:dyDescent="0.25">
      <c r="B1" s="68" t="s">
        <v>49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19" ht="16.5" x14ac:dyDescent="0.25">
      <c r="B2" s="68" t="s">
        <v>50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19" ht="4.5" customHeight="1" thickBot="1" x14ac:dyDescent="0.3"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</row>
    <row r="4" spans="1:19" ht="19.5" thickBot="1" x14ac:dyDescent="0.35">
      <c r="B4" s="47" t="s">
        <v>86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9" x14ac:dyDescent="0.25">
      <c r="B5" s="70" t="s">
        <v>48</v>
      </c>
      <c r="C5" s="72" t="s">
        <v>38</v>
      </c>
      <c r="D5" s="76" t="s">
        <v>60</v>
      </c>
      <c r="E5" s="72" t="s">
        <v>39</v>
      </c>
      <c r="F5" s="72" t="s">
        <v>61</v>
      </c>
      <c r="G5" s="40" t="s">
        <v>62</v>
      </c>
      <c r="H5" s="41" t="s">
        <v>64</v>
      </c>
      <c r="I5" s="20" t="s">
        <v>51</v>
      </c>
      <c r="J5" s="8" t="s">
        <v>69</v>
      </c>
      <c r="K5" s="20" t="s">
        <v>40</v>
      </c>
      <c r="L5" s="74" t="s">
        <v>42</v>
      </c>
      <c r="M5" s="72" t="s">
        <v>43</v>
      </c>
      <c r="N5" s="20" t="s">
        <v>44</v>
      </c>
      <c r="O5" s="8" t="s">
        <v>46</v>
      </c>
      <c r="P5" s="22" t="s">
        <v>40</v>
      </c>
    </row>
    <row r="6" spans="1:19" ht="15.75" thickBot="1" x14ac:dyDescent="0.3">
      <c r="B6" s="71"/>
      <c r="C6" s="73"/>
      <c r="D6" s="77"/>
      <c r="E6" s="73"/>
      <c r="F6" s="73"/>
      <c r="G6" s="42" t="s">
        <v>63</v>
      </c>
      <c r="H6" s="43" t="s">
        <v>53</v>
      </c>
      <c r="I6" s="21" t="s">
        <v>52</v>
      </c>
      <c r="J6" s="9" t="s">
        <v>70</v>
      </c>
      <c r="K6" s="21" t="s">
        <v>41</v>
      </c>
      <c r="L6" s="75"/>
      <c r="M6" s="73"/>
      <c r="N6" s="21" t="s">
        <v>45</v>
      </c>
      <c r="O6" s="9" t="s">
        <v>45</v>
      </c>
      <c r="P6" s="23" t="s">
        <v>47</v>
      </c>
    </row>
    <row r="7" spans="1:19" x14ac:dyDescent="0.25">
      <c r="A7" s="45">
        <v>1</v>
      </c>
      <c r="B7" s="16" t="s">
        <v>0</v>
      </c>
      <c r="C7" s="14">
        <f>6819.35+790.75</f>
        <v>7610.1</v>
      </c>
      <c r="D7" s="27">
        <v>3064.97</v>
      </c>
      <c r="E7" s="27"/>
      <c r="F7" s="27"/>
      <c r="G7" s="27"/>
      <c r="H7" s="27"/>
      <c r="I7" s="30"/>
      <c r="J7" s="30"/>
      <c r="K7" s="12">
        <f t="shared" ref="K7:K15" si="0">SUM(C7:I7)</f>
        <v>10675.07</v>
      </c>
      <c r="L7" s="3">
        <v>1809.52</v>
      </c>
      <c r="M7" s="3">
        <v>876.95</v>
      </c>
      <c r="N7" s="2">
        <f>K7-L7-M7-R7</f>
        <v>108.50999999999931</v>
      </c>
      <c r="O7" s="2">
        <f t="shared" ref="O7:O63" si="1">SUM(L7:N7)</f>
        <v>2794.9799999999996</v>
      </c>
      <c r="P7" s="18">
        <f t="shared" ref="P7:P63" si="2">SUM(K7-O7)</f>
        <v>7880.09</v>
      </c>
      <c r="Q7" s="24"/>
      <c r="R7" s="25">
        <v>7880.09</v>
      </c>
    </row>
    <row r="8" spans="1:19" x14ac:dyDescent="0.25">
      <c r="A8" s="45">
        <v>2</v>
      </c>
      <c r="B8" s="16" t="s">
        <v>1</v>
      </c>
      <c r="C8" s="14">
        <f>3444.4+310</f>
        <v>3754.4</v>
      </c>
      <c r="D8" s="27"/>
      <c r="E8" s="27"/>
      <c r="F8" s="27"/>
      <c r="G8" s="27"/>
      <c r="H8" s="27"/>
      <c r="I8" s="30"/>
      <c r="J8" s="30"/>
      <c r="K8" s="12">
        <f t="shared" si="0"/>
        <v>3754.4</v>
      </c>
      <c r="L8" s="3">
        <v>111.28</v>
      </c>
      <c r="M8" s="3">
        <v>353.58</v>
      </c>
      <c r="N8" s="2">
        <f t="shared" ref="N8:N14" si="3">K8-L8-M8-R8</f>
        <v>1791.74</v>
      </c>
      <c r="O8" s="2">
        <f t="shared" si="1"/>
        <v>2256.6</v>
      </c>
      <c r="P8" s="18">
        <f t="shared" si="2"/>
        <v>1497.8000000000002</v>
      </c>
      <c r="Q8" s="24"/>
      <c r="R8" s="25">
        <v>1497.8</v>
      </c>
    </row>
    <row r="9" spans="1:19" x14ac:dyDescent="0.25">
      <c r="A9" s="45">
        <v>3</v>
      </c>
      <c r="B9" s="16" t="s">
        <v>56</v>
      </c>
      <c r="C9" s="14">
        <f>2908.37+222.04</f>
        <v>3130.41</v>
      </c>
      <c r="D9" s="27">
        <v>1532.5</v>
      </c>
      <c r="E9" s="27"/>
      <c r="F9" s="27"/>
      <c r="G9" s="27"/>
      <c r="H9" s="27"/>
      <c r="I9" s="30"/>
      <c r="J9" s="30"/>
      <c r="K9" s="12">
        <f t="shared" si="0"/>
        <v>4662.91</v>
      </c>
      <c r="L9" s="3">
        <v>278.62</v>
      </c>
      <c r="M9" s="3">
        <v>478.71</v>
      </c>
      <c r="N9" s="2">
        <f t="shared" si="3"/>
        <v>146.09999999999991</v>
      </c>
      <c r="O9" s="2">
        <f t="shared" si="1"/>
        <v>903.42999999999984</v>
      </c>
      <c r="P9" s="18">
        <f t="shared" si="2"/>
        <v>3759.48</v>
      </c>
      <c r="Q9" s="24"/>
      <c r="R9" s="25">
        <v>3759.48</v>
      </c>
    </row>
    <row r="10" spans="1:19" x14ac:dyDescent="0.25">
      <c r="A10" s="45">
        <v>4</v>
      </c>
      <c r="B10" s="16" t="s">
        <v>73</v>
      </c>
      <c r="C10" s="14">
        <f>5421.73+130.12</f>
        <v>5551.8499999999995</v>
      </c>
      <c r="D10" s="27">
        <v>1084.3499999999999</v>
      </c>
      <c r="E10" s="27"/>
      <c r="F10" s="27"/>
      <c r="G10" s="27"/>
      <c r="H10" s="27"/>
      <c r="I10" s="30"/>
      <c r="J10" s="30"/>
      <c r="K10" s="12">
        <f t="shared" ref="K10:K11" si="4">SUM(C10:I10)</f>
        <v>6636.1999999999989</v>
      </c>
      <c r="L10" s="3">
        <v>732.38</v>
      </c>
      <c r="M10" s="3">
        <v>754.97</v>
      </c>
      <c r="N10" s="2">
        <f t="shared" ref="N10:N11" si="5">K10-L10-M10-R10</f>
        <v>147.93999999999869</v>
      </c>
      <c r="O10" s="2">
        <f t="shared" ref="O10:O11" si="6">SUM(L10:N10)</f>
        <v>1635.2899999999986</v>
      </c>
      <c r="P10" s="18">
        <f t="shared" ref="P10:P11" si="7">SUM(K10-O10)</f>
        <v>5000.91</v>
      </c>
      <c r="Q10" s="24"/>
      <c r="R10" s="25">
        <v>5000.91</v>
      </c>
    </row>
    <row r="11" spans="1:19" x14ac:dyDescent="0.25">
      <c r="A11" s="45">
        <v>5</v>
      </c>
      <c r="B11" s="16" t="s">
        <v>75</v>
      </c>
      <c r="C11" s="14">
        <v>3705.64</v>
      </c>
      <c r="D11" s="27"/>
      <c r="E11" s="27"/>
      <c r="F11" s="27"/>
      <c r="G11" s="27"/>
      <c r="H11" s="27"/>
      <c r="I11" s="30"/>
      <c r="J11" s="30"/>
      <c r="K11" s="12">
        <f t="shared" si="4"/>
        <v>3705.64</v>
      </c>
      <c r="L11" s="3">
        <v>106.25</v>
      </c>
      <c r="M11" s="3">
        <v>347.73</v>
      </c>
      <c r="N11" s="2">
        <f t="shared" si="5"/>
        <v>44.440000000000055</v>
      </c>
      <c r="O11" s="2">
        <f t="shared" si="6"/>
        <v>498.42000000000007</v>
      </c>
      <c r="P11" s="18">
        <f t="shared" si="7"/>
        <v>3207.22</v>
      </c>
      <c r="Q11" s="24"/>
      <c r="R11" s="25">
        <v>3207.22</v>
      </c>
    </row>
    <row r="12" spans="1:19" x14ac:dyDescent="0.25">
      <c r="A12" s="45">
        <v>6</v>
      </c>
      <c r="B12" s="16" t="s">
        <v>2</v>
      </c>
      <c r="C12" s="14">
        <f>3522.55+493.16</f>
        <v>4015.71</v>
      </c>
      <c r="D12" s="27"/>
      <c r="E12" s="27"/>
      <c r="F12" s="27"/>
      <c r="G12" s="27"/>
      <c r="H12" s="27"/>
      <c r="I12" s="30"/>
      <c r="J12" s="30"/>
      <c r="K12" s="12">
        <f t="shared" si="0"/>
        <v>4015.71</v>
      </c>
      <c r="L12" s="3">
        <v>152.76</v>
      </c>
      <c r="M12" s="3">
        <v>388.1</v>
      </c>
      <c r="N12" s="2">
        <f t="shared" si="3"/>
        <v>1208.98</v>
      </c>
      <c r="O12" s="2">
        <f t="shared" si="1"/>
        <v>1749.8400000000001</v>
      </c>
      <c r="P12" s="18">
        <f>SUM(K12-O12)+H12</f>
        <v>2265.87</v>
      </c>
      <c r="Q12" s="24"/>
      <c r="R12" s="25">
        <v>2265.87</v>
      </c>
      <c r="S12" s="1"/>
    </row>
    <row r="13" spans="1:19" x14ac:dyDescent="0.25">
      <c r="A13" s="45">
        <v>7</v>
      </c>
      <c r="B13" s="16" t="s">
        <v>3</v>
      </c>
      <c r="C13" s="14">
        <v>5297.36</v>
      </c>
      <c r="D13" s="27"/>
      <c r="E13" s="27"/>
      <c r="F13" s="27"/>
      <c r="G13" s="27"/>
      <c r="H13" s="27"/>
      <c r="I13" s="30"/>
      <c r="J13" s="30"/>
      <c r="K13" s="12">
        <f t="shared" si="0"/>
        <v>5297.36</v>
      </c>
      <c r="L13" s="3">
        <v>415.74</v>
      </c>
      <c r="M13" s="3">
        <v>567.53</v>
      </c>
      <c r="N13" s="2">
        <f t="shared" si="3"/>
        <v>980.32999999999993</v>
      </c>
      <c r="O13" s="2">
        <f t="shared" si="1"/>
        <v>1963.6</v>
      </c>
      <c r="P13" s="18">
        <f t="shared" si="2"/>
        <v>3333.7599999999998</v>
      </c>
      <c r="Q13" s="24"/>
      <c r="R13" s="25">
        <v>3333.76</v>
      </c>
    </row>
    <row r="14" spans="1:19" x14ac:dyDescent="0.25">
      <c r="A14" s="45">
        <v>8</v>
      </c>
      <c r="B14" s="16" t="s">
        <v>71</v>
      </c>
      <c r="C14" s="14">
        <f>5421.73+130.12</f>
        <v>5551.8499999999995</v>
      </c>
      <c r="D14" s="27">
        <f>1084.35+133.34</f>
        <v>1217.6899999999998</v>
      </c>
      <c r="E14" s="27"/>
      <c r="F14" s="27"/>
      <c r="G14" s="27"/>
      <c r="H14" s="27"/>
      <c r="I14" s="30"/>
      <c r="J14" s="30"/>
      <c r="K14" s="12">
        <f t="shared" si="0"/>
        <v>6769.5399999999991</v>
      </c>
      <c r="L14" s="3">
        <v>732.38</v>
      </c>
      <c r="M14" s="3">
        <v>754.97</v>
      </c>
      <c r="N14" s="2">
        <f t="shared" si="3"/>
        <v>108.53999999999905</v>
      </c>
      <c r="O14" s="2">
        <f t="shared" si="1"/>
        <v>1595.889999999999</v>
      </c>
      <c r="P14" s="18">
        <f t="shared" si="2"/>
        <v>5173.6499999999996</v>
      </c>
      <c r="Q14" s="24"/>
      <c r="R14" s="25">
        <v>5173.6499999999996</v>
      </c>
    </row>
    <row r="15" spans="1:19" x14ac:dyDescent="0.25">
      <c r="A15" s="45">
        <v>9</v>
      </c>
      <c r="B15" s="16" t="s">
        <v>4</v>
      </c>
      <c r="C15" s="14">
        <f>15497.73+8136.31</f>
        <v>23634.04</v>
      </c>
      <c r="D15" s="27">
        <f>1549.77+6199.09</f>
        <v>7748.8600000000006</v>
      </c>
      <c r="E15" s="27"/>
      <c r="F15" s="27"/>
      <c r="G15" s="27"/>
      <c r="H15" s="27"/>
      <c r="I15" s="30"/>
      <c r="J15" s="30"/>
      <c r="K15" s="12">
        <f t="shared" si="0"/>
        <v>31382.9</v>
      </c>
      <c r="L15" s="3">
        <v>7504.18</v>
      </c>
      <c r="M15" s="3">
        <v>876.95</v>
      </c>
      <c r="N15" s="2">
        <f>K15-L15-M15-R15</f>
        <v>343.75</v>
      </c>
      <c r="O15" s="2">
        <f t="shared" si="1"/>
        <v>8724.880000000001</v>
      </c>
      <c r="P15" s="18">
        <f t="shared" si="2"/>
        <v>22658.02</v>
      </c>
      <c r="Q15" s="24"/>
      <c r="R15" s="25">
        <v>22658.02</v>
      </c>
    </row>
    <row r="16" spans="1:19" x14ac:dyDescent="0.25">
      <c r="A16" s="45">
        <v>10</v>
      </c>
      <c r="B16" s="16" t="s">
        <v>5</v>
      </c>
      <c r="C16" s="14">
        <f>15344.28+5155.68</f>
        <v>20499.96</v>
      </c>
      <c r="D16" s="27">
        <v>6137.71</v>
      </c>
      <c r="E16" s="27"/>
      <c r="F16" s="49"/>
      <c r="G16" s="27"/>
      <c r="H16" s="27"/>
      <c r="I16" s="30"/>
      <c r="J16" s="30"/>
      <c r="K16" s="12">
        <f t="shared" ref="K16:K31" si="8">SUM(C16:I16)</f>
        <v>26637.67</v>
      </c>
      <c r="L16" s="3">
        <v>6199.24</v>
      </c>
      <c r="M16" s="3">
        <v>876.95</v>
      </c>
      <c r="N16" s="2">
        <f t="shared" ref="N16:N41" si="9">K16-L16-M16-R16</f>
        <v>108.45999999999913</v>
      </c>
      <c r="O16" s="2">
        <f t="shared" si="1"/>
        <v>7184.6499999999987</v>
      </c>
      <c r="P16" s="18">
        <f t="shared" si="2"/>
        <v>19453.02</v>
      </c>
      <c r="Q16" s="24"/>
      <c r="R16" s="25">
        <v>19453.02</v>
      </c>
    </row>
    <row r="17" spans="1:18" x14ac:dyDescent="0.25">
      <c r="A17" s="45">
        <v>11</v>
      </c>
      <c r="B17" s="16" t="s">
        <v>6</v>
      </c>
      <c r="C17" s="14">
        <f>3584.25+511.68</f>
        <v>4095.93</v>
      </c>
      <c r="D17" s="27">
        <v>1532.5</v>
      </c>
      <c r="E17" s="27"/>
      <c r="F17" s="44"/>
      <c r="G17" s="44"/>
      <c r="H17" s="27"/>
      <c r="I17" s="30"/>
      <c r="J17" s="30"/>
      <c r="K17" s="12">
        <f t="shared" si="8"/>
        <v>5628.43</v>
      </c>
      <c r="L17" s="3">
        <v>494.04</v>
      </c>
      <c r="M17" s="3">
        <v>613.88</v>
      </c>
      <c r="N17" s="2">
        <f t="shared" si="9"/>
        <v>23.930000000000291</v>
      </c>
      <c r="O17" s="2">
        <f t="shared" si="1"/>
        <v>1131.8500000000004</v>
      </c>
      <c r="P17" s="18">
        <f t="shared" si="2"/>
        <v>4496.58</v>
      </c>
      <c r="Q17" s="24"/>
      <c r="R17" s="25">
        <v>4496.58</v>
      </c>
    </row>
    <row r="18" spans="1:18" x14ac:dyDescent="0.25">
      <c r="A18" s="45">
        <v>12</v>
      </c>
      <c r="B18" s="16" t="s">
        <v>7</v>
      </c>
      <c r="C18" s="14">
        <v>3578.24</v>
      </c>
      <c r="D18" s="27"/>
      <c r="E18" s="27"/>
      <c r="F18" s="27"/>
      <c r="G18" s="27"/>
      <c r="H18" s="27"/>
      <c r="I18" s="30"/>
      <c r="J18" s="30"/>
      <c r="K18" s="12">
        <f t="shared" si="8"/>
        <v>3578.24</v>
      </c>
      <c r="L18" s="3">
        <v>87.14</v>
      </c>
      <c r="M18" s="3">
        <v>332.44</v>
      </c>
      <c r="N18" s="2">
        <f t="shared" si="9"/>
        <v>428.40999999999985</v>
      </c>
      <c r="O18" s="2">
        <f t="shared" si="1"/>
        <v>847.98999999999978</v>
      </c>
      <c r="P18" s="18">
        <f t="shared" si="2"/>
        <v>2730.25</v>
      </c>
      <c r="Q18" s="24"/>
      <c r="R18" s="25">
        <v>2730.25</v>
      </c>
    </row>
    <row r="19" spans="1:18" x14ac:dyDescent="0.25">
      <c r="A19" s="45">
        <v>14</v>
      </c>
      <c r="B19" s="16" t="s">
        <v>8</v>
      </c>
      <c r="C19" s="14">
        <f>6884.16+1591.86</f>
        <v>8476.02</v>
      </c>
      <c r="D19" s="27">
        <v>3064.97</v>
      </c>
      <c r="E19" s="27"/>
      <c r="F19" s="27"/>
      <c r="G19" s="27"/>
      <c r="H19" s="27"/>
      <c r="I19" s="30"/>
      <c r="J19" s="30"/>
      <c r="K19" s="12">
        <f t="shared" si="8"/>
        <v>11540.99</v>
      </c>
      <c r="L19" s="3">
        <v>1891.24</v>
      </c>
      <c r="M19" s="3">
        <f>212.59+664.36</f>
        <v>876.95</v>
      </c>
      <c r="N19" s="2">
        <f t="shared" si="9"/>
        <v>725.54999999999927</v>
      </c>
      <c r="O19" s="2">
        <f t="shared" si="1"/>
        <v>3493.7399999999993</v>
      </c>
      <c r="P19" s="18">
        <f t="shared" si="2"/>
        <v>8047.25</v>
      </c>
      <c r="Q19" s="24"/>
      <c r="R19" s="25">
        <v>8047.25</v>
      </c>
    </row>
    <row r="20" spans="1:18" x14ac:dyDescent="0.25">
      <c r="A20" s="45">
        <v>15</v>
      </c>
      <c r="B20" s="16" t="s">
        <v>82</v>
      </c>
      <c r="C20" s="14">
        <v>2632.91</v>
      </c>
      <c r="D20" s="27"/>
      <c r="E20" s="27"/>
      <c r="F20" s="27"/>
      <c r="G20" s="27"/>
      <c r="H20" s="27"/>
      <c r="I20" s="30"/>
      <c r="J20" s="30"/>
      <c r="K20" s="12">
        <f t="shared" ref="K20" si="10">SUM(C20:I20)</f>
        <v>2632.91</v>
      </c>
      <c r="L20" s="3"/>
      <c r="M20" s="3">
        <v>219</v>
      </c>
      <c r="N20" s="2">
        <f t="shared" ref="N20" si="11">K20-L20-M20-R20</f>
        <v>33.710000000000036</v>
      </c>
      <c r="O20" s="2">
        <f t="shared" ref="O20" si="12">SUM(L20:N20)</f>
        <v>252.71000000000004</v>
      </c>
      <c r="P20" s="18">
        <f t="shared" ref="P20" si="13">SUM(K20-O20)</f>
        <v>2380.1999999999998</v>
      </c>
      <c r="Q20" s="24"/>
      <c r="R20" s="25">
        <v>2380.1999999999998</v>
      </c>
    </row>
    <row r="21" spans="1:18" x14ac:dyDescent="0.25">
      <c r="A21" s="45">
        <v>16</v>
      </c>
      <c r="B21" s="16" t="s">
        <v>9</v>
      </c>
      <c r="C21" s="14">
        <v>3785.42</v>
      </c>
      <c r="D21" s="27"/>
      <c r="E21" s="27"/>
      <c r="F21" s="27"/>
      <c r="G21" s="27"/>
      <c r="H21" s="27"/>
      <c r="I21" s="30"/>
      <c r="J21" s="30"/>
      <c r="K21" s="12">
        <f t="shared" si="8"/>
        <v>3785.42</v>
      </c>
      <c r="L21" s="3">
        <v>118.21</v>
      </c>
      <c r="M21" s="3">
        <v>357.3</v>
      </c>
      <c r="N21" s="2">
        <f t="shared" si="9"/>
        <v>40.480000000000018</v>
      </c>
      <c r="O21" s="2">
        <f t="shared" si="1"/>
        <v>515.99</v>
      </c>
      <c r="P21" s="18">
        <f t="shared" si="2"/>
        <v>3269.4300000000003</v>
      </c>
      <c r="Q21" s="24"/>
      <c r="R21" s="25">
        <v>3269.43</v>
      </c>
    </row>
    <row r="22" spans="1:18" x14ac:dyDescent="0.25">
      <c r="A22" s="45">
        <v>17</v>
      </c>
      <c r="B22" s="16" t="s">
        <v>76</v>
      </c>
      <c r="C22" s="14">
        <v>3705.64</v>
      </c>
      <c r="D22" s="27"/>
      <c r="E22" s="27"/>
      <c r="F22" s="27"/>
      <c r="G22" s="27"/>
      <c r="H22" s="27"/>
      <c r="I22" s="30"/>
      <c r="J22" s="30"/>
      <c r="K22" s="12">
        <f t="shared" si="8"/>
        <v>3705.64</v>
      </c>
      <c r="L22" s="3">
        <v>106.25</v>
      </c>
      <c r="M22" s="3">
        <v>347.73</v>
      </c>
      <c r="N22" s="2">
        <f t="shared" ref="N22" si="14">K22-L22-M22-R22</f>
        <v>44.440000000000055</v>
      </c>
      <c r="O22" s="2">
        <f t="shared" ref="O22" si="15">SUM(L22:N22)</f>
        <v>498.42000000000007</v>
      </c>
      <c r="P22" s="18">
        <f t="shared" ref="P22" si="16">SUM(K22-O22)</f>
        <v>3207.22</v>
      </c>
      <c r="Q22" s="24"/>
      <c r="R22" s="25">
        <v>3207.22</v>
      </c>
    </row>
    <row r="23" spans="1:18" x14ac:dyDescent="0.25">
      <c r="A23" s="45">
        <v>18</v>
      </c>
      <c r="B23" s="16" t="s">
        <v>10</v>
      </c>
      <c r="C23" s="14">
        <f>17119.13+10862.09</f>
        <v>27981.22</v>
      </c>
      <c r="D23" s="27">
        <v>23110.83</v>
      </c>
      <c r="E23" s="27"/>
      <c r="F23" s="27"/>
      <c r="G23" s="27"/>
      <c r="H23" s="27"/>
      <c r="I23" s="30"/>
      <c r="J23" s="30"/>
      <c r="K23" s="12">
        <f t="shared" si="8"/>
        <v>51092.05</v>
      </c>
      <c r="L23" s="3">
        <v>10327.879999999999</v>
      </c>
      <c r="M23" s="3">
        <v>876.95</v>
      </c>
      <c r="N23" s="2">
        <f t="shared" si="9"/>
        <v>9947.7500000000073</v>
      </c>
      <c r="O23" s="2">
        <f t="shared" si="1"/>
        <v>21152.580000000009</v>
      </c>
      <c r="P23" s="18">
        <f t="shared" si="2"/>
        <v>29939.469999999994</v>
      </c>
      <c r="Q23" s="24"/>
      <c r="R23" s="25">
        <v>29939.47</v>
      </c>
    </row>
    <row r="24" spans="1:18" x14ac:dyDescent="0.25">
      <c r="A24" s="45">
        <v>19</v>
      </c>
      <c r="B24" s="16" t="s">
        <v>11</v>
      </c>
      <c r="C24" s="14">
        <f>15497.73+5393.21</f>
        <v>20890.939999999999</v>
      </c>
      <c r="D24" s="27">
        <v>3099.55</v>
      </c>
      <c r="E24" s="27"/>
      <c r="F24" s="27"/>
      <c r="G24" s="27"/>
      <c r="H24" s="27"/>
      <c r="I24" s="30"/>
      <c r="J24" s="30"/>
      <c r="K24" s="12">
        <f t="shared" si="8"/>
        <v>23990.489999999998</v>
      </c>
      <c r="L24" s="3">
        <v>5419.13</v>
      </c>
      <c r="M24" s="3">
        <v>876.95</v>
      </c>
      <c r="N24" s="2">
        <f t="shared" si="9"/>
        <v>2395.2099999999955</v>
      </c>
      <c r="O24" s="2">
        <f t="shared" si="1"/>
        <v>8691.2899999999954</v>
      </c>
      <c r="P24" s="18">
        <f t="shared" si="2"/>
        <v>15299.200000000003</v>
      </c>
      <c r="Q24" s="24"/>
      <c r="R24" s="25">
        <v>15299.2</v>
      </c>
    </row>
    <row r="25" spans="1:18" x14ac:dyDescent="0.25">
      <c r="A25" s="45">
        <v>20</v>
      </c>
      <c r="B25" s="16" t="s">
        <v>12</v>
      </c>
      <c r="C25" s="14">
        <f>7051.02+1887.76</f>
        <v>8938.7800000000007</v>
      </c>
      <c r="D25" s="27">
        <v>500</v>
      </c>
      <c r="E25" s="27"/>
      <c r="F25" s="27"/>
      <c r="G25" s="27"/>
      <c r="H25" s="27"/>
      <c r="I25" s="30"/>
      <c r="J25" s="30"/>
      <c r="K25" s="12">
        <f t="shared" si="8"/>
        <v>9438.7800000000007</v>
      </c>
      <c r="L25" s="3">
        <v>1365.27</v>
      </c>
      <c r="M25" s="3">
        <v>876.95</v>
      </c>
      <c r="N25" s="2">
        <f t="shared" si="9"/>
        <v>2086.6000000000004</v>
      </c>
      <c r="O25" s="2">
        <f t="shared" si="1"/>
        <v>4328.8200000000006</v>
      </c>
      <c r="P25" s="18">
        <f t="shared" si="2"/>
        <v>5109.96</v>
      </c>
      <c r="Q25" s="24"/>
      <c r="R25" s="25">
        <v>5109.96</v>
      </c>
    </row>
    <row r="26" spans="1:18" x14ac:dyDescent="0.25">
      <c r="A26" s="45">
        <v>21</v>
      </c>
      <c r="B26" s="16" t="s">
        <v>74</v>
      </c>
      <c r="C26" s="14">
        <f>15344.28+5339.81</f>
        <v>20684.09</v>
      </c>
      <c r="D26" s="27">
        <v>3068.86</v>
      </c>
      <c r="E26" s="27"/>
      <c r="F26" s="27"/>
      <c r="G26" s="27"/>
      <c r="H26" s="27"/>
      <c r="I26" s="30"/>
      <c r="J26" s="30"/>
      <c r="K26" s="12">
        <f t="shared" si="8"/>
        <v>23752.95</v>
      </c>
      <c r="L26" s="3">
        <v>5353.8</v>
      </c>
      <c r="M26" s="3">
        <v>876.95</v>
      </c>
      <c r="N26" s="2">
        <f t="shared" si="9"/>
        <v>5595.7100000000009</v>
      </c>
      <c r="O26" s="2">
        <f t="shared" si="1"/>
        <v>11826.460000000001</v>
      </c>
      <c r="P26" s="18">
        <f t="shared" si="2"/>
        <v>11926.49</v>
      </c>
      <c r="Q26" s="24"/>
      <c r="R26" s="25">
        <v>11926.49</v>
      </c>
    </row>
    <row r="27" spans="1:18" x14ac:dyDescent="0.25">
      <c r="A27" s="45">
        <v>22</v>
      </c>
      <c r="B27" s="16" t="s">
        <v>13</v>
      </c>
      <c r="C27" s="14">
        <f>7051.02+2326.84</f>
        <v>9377.86</v>
      </c>
      <c r="D27" s="27"/>
      <c r="E27" s="27"/>
      <c r="F27" s="27"/>
      <c r="G27" s="27"/>
      <c r="H27" s="27"/>
      <c r="I27" s="30"/>
      <c r="J27" s="30"/>
      <c r="K27" s="12">
        <f t="shared" si="8"/>
        <v>9377.86</v>
      </c>
      <c r="L27" s="3">
        <v>1400.65</v>
      </c>
      <c r="M27" s="3">
        <v>876.95</v>
      </c>
      <c r="N27" s="2">
        <f t="shared" si="9"/>
        <v>1742.9900000000007</v>
      </c>
      <c r="O27" s="2">
        <f t="shared" si="1"/>
        <v>4020.5900000000011</v>
      </c>
      <c r="P27" s="18">
        <f>SUM(K27-O27)+H27</f>
        <v>5357.2699999999995</v>
      </c>
      <c r="Q27" s="24"/>
      <c r="R27" s="25">
        <v>5357.27</v>
      </c>
    </row>
    <row r="28" spans="1:18" x14ac:dyDescent="0.25">
      <c r="A28" s="45">
        <v>23</v>
      </c>
      <c r="B28" s="16" t="s">
        <v>14</v>
      </c>
      <c r="C28" s="14">
        <f>9188.83+826.99</f>
        <v>10015.82</v>
      </c>
      <c r="D28" s="27"/>
      <c r="E28" s="27"/>
      <c r="F28" s="27"/>
      <c r="G28" s="27"/>
      <c r="H28" s="27"/>
      <c r="I28" s="30"/>
      <c r="J28" s="30"/>
      <c r="K28" s="12">
        <f t="shared" si="8"/>
        <v>10015.82</v>
      </c>
      <c r="L28" s="3">
        <v>1628.23</v>
      </c>
      <c r="M28" s="3">
        <v>876.95</v>
      </c>
      <c r="N28" s="2">
        <f t="shared" si="9"/>
        <v>97.460000000000036</v>
      </c>
      <c r="O28" s="2">
        <f t="shared" si="1"/>
        <v>2602.6400000000003</v>
      </c>
      <c r="P28" s="18">
        <f t="shared" si="2"/>
        <v>7413.1799999999994</v>
      </c>
      <c r="Q28" s="24"/>
      <c r="R28" s="25">
        <v>7413.18</v>
      </c>
    </row>
    <row r="29" spans="1:18" x14ac:dyDescent="0.25">
      <c r="A29" s="45">
        <v>24</v>
      </c>
      <c r="B29" s="16" t="s">
        <v>15</v>
      </c>
      <c r="C29" s="14">
        <f>6114.17+1758.73</f>
        <v>7872.9</v>
      </c>
      <c r="D29" s="27">
        <v>1532.5</v>
      </c>
      <c r="E29" s="27"/>
      <c r="F29" s="27"/>
      <c r="G29" s="27"/>
      <c r="H29" s="27"/>
      <c r="I29" s="30"/>
      <c r="J29" s="30"/>
      <c r="K29" s="12">
        <f t="shared" si="8"/>
        <v>9405.4</v>
      </c>
      <c r="L29" s="3">
        <v>1356.09</v>
      </c>
      <c r="M29" s="3">
        <f>422.44+454.51</f>
        <v>876.95</v>
      </c>
      <c r="N29" s="2">
        <f t="shared" si="9"/>
        <v>788.04999999999927</v>
      </c>
      <c r="O29" s="2">
        <f t="shared" si="1"/>
        <v>3021.0899999999992</v>
      </c>
      <c r="P29" s="18">
        <f t="shared" si="2"/>
        <v>6384.31</v>
      </c>
      <c r="Q29" s="24"/>
      <c r="R29" s="25">
        <v>6384.31</v>
      </c>
    </row>
    <row r="30" spans="1:18" x14ac:dyDescent="0.25">
      <c r="A30" s="45">
        <v>25</v>
      </c>
      <c r="B30" s="16" t="s">
        <v>85</v>
      </c>
      <c r="C30" s="14">
        <v>3705.64</v>
      </c>
      <c r="D30" s="27"/>
      <c r="E30" s="27"/>
      <c r="F30" s="27"/>
      <c r="G30" s="27"/>
      <c r="H30" s="27"/>
      <c r="I30" s="30"/>
      <c r="J30" s="30"/>
      <c r="K30" s="12">
        <f t="shared" ref="K30" si="17">SUM(C30:I30)</f>
        <v>3705.64</v>
      </c>
      <c r="L30" s="3">
        <v>106.25</v>
      </c>
      <c r="M30" s="3">
        <v>347.73</v>
      </c>
      <c r="N30" s="2">
        <f t="shared" ref="N30" si="18">K30-L30-M30-R30</f>
        <v>75.639999999999873</v>
      </c>
      <c r="O30" s="2">
        <f t="shared" ref="O30" si="19">SUM(L30:N30)</f>
        <v>529.61999999999989</v>
      </c>
      <c r="P30" s="18">
        <f t="shared" ref="P30" si="20">SUM(K30-O30)</f>
        <v>3176.02</v>
      </c>
      <c r="Q30" s="24"/>
      <c r="R30" s="25">
        <v>3176.02</v>
      </c>
    </row>
    <row r="31" spans="1:18" x14ac:dyDescent="0.25">
      <c r="A31" s="45">
        <v>26</v>
      </c>
      <c r="B31" s="16" t="s">
        <v>16</v>
      </c>
      <c r="C31" s="14">
        <v>8642.69</v>
      </c>
      <c r="D31" s="27"/>
      <c r="E31" s="27"/>
      <c r="F31" s="27"/>
      <c r="G31" s="27"/>
      <c r="H31" s="27"/>
      <c r="I31" s="30"/>
      <c r="J31" s="30"/>
      <c r="K31" s="12">
        <f t="shared" si="8"/>
        <v>8642.69</v>
      </c>
      <c r="L31" s="3">
        <v>1250.6199999999999</v>
      </c>
      <c r="M31" s="3">
        <v>876.95</v>
      </c>
      <c r="N31" s="2">
        <f t="shared" si="9"/>
        <v>296.17000000000098</v>
      </c>
      <c r="O31" s="2">
        <f t="shared" si="1"/>
        <v>2423.7400000000007</v>
      </c>
      <c r="P31" s="18">
        <f t="shared" si="2"/>
        <v>6218.95</v>
      </c>
      <c r="Q31" s="24"/>
      <c r="R31" s="25">
        <v>6218.95</v>
      </c>
    </row>
    <row r="32" spans="1:18" x14ac:dyDescent="0.25">
      <c r="A32" s="45">
        <v>27</v>
      </c>
      <c r="B32" s="16" t="s">
        <v>57</v>
      </c>
      <c r="C32" s="14">
        <f>6112.34+305.62</f>
        <v>6417.96</v>
      </c>
      <c r="D32" s="27"/>
      <c r="E32" s="27"/>
      <c r="F32" s="27"/>
      <c r="G32" s="27"/>
      <c r="H32" s="27"/>
      <c r="I32" s="30"/>
      <c r="J32" s="30"/>
      <c r="K32" s="12">
        <f>SUM(C32:I32)</f>
        <v>6417.96</v>
      </c>
      <c r="L32" s="3">
        <v>680.76</v>
      </c>
      <c r="M32" s="3">
        <v>724.42</v>
      </c>
      <c r="N32" s="2">
        <f t="shared" ref="N32" si="21">K32-L32-M32-R32</f>
        <v>101.64999999999964</v>
      </c>
      <c r="O32" s="2">
        <f t="shared" ref="O32" si="22">SUM(L32:N32)</f>
        <v>1506.8299999999995</v>
      </c>
      <c r="P32" s="18">
        <f>SUM(K32-O32)+H32</f>
        <v>4911.130000000001</v>
      </c>
      <c r="Q32" s="24"/>
      <c r="R32" s="25">
        <v>4911.13</v>
      </c>
    </row>
    <row r="33" spans="1:18" x14ac:dyDescent="0.25">
      <c r="A33" s="45">
        <v>28</v>
      </c>
      <c r="B33" s="16" t="s">
        <v>17</v>
      </c>
      <c r="C33" s="14">
        <f>2719.17+625.41</f>
        <v>3344.58</v>
      </c>
      <c r="D33" s="27"/>
      <c r="E33" s="27"/>
      <c r="F33" s="27"/>
      <c r="G33" s="27"/>
      <c r="H33" s="27"/>
      <c r="I33" s="30"/>
      <c r="J33" s="30"/>
      <c r="K33" s="12">
        <f>SUM(C33:I33)</f>
        <v>3344.58</v>
      </c>
      <c r="L33" s="3">
        <v>52.84</v>
      </c>
      <c r="M33" s="3">
        <v>304.39999999999998</v>
      </c>
      <c r="N33" s="2">
        <f t="shared" si="9"/>
        <v>777.85999999999967</v>
      </c>
      <c r="O33" s="2">
        <f t="shared" si="1"/>
        <v>1135.0999999999997</v>
      </c>
      <c r="P33" s="18">
        <f>SUM(K33-O33)+H33</f>
        <v>2209.4800000000005</v>
      </c>
      <c r="Q33" s="24"/>
      <c r="R33" s="25">
        <v>2209.48</v>
      </c>
    </row>
    <row r="34" spans="1:18" x14ac:dyDescent="0.25">
      <c r="A34" s="45">
        <v>29</v>
      </c>
      <c r="B34" s="16" t="s">
        <v>18</v>
      </c>
      <c r="C34" s="14">
        <f>6816+1226.88</f>
        <v>8042.88</v>
      </c>
      <c r="D34" s="27">
        <v>1363.2</v>
      </c>
      <c r="E34" s="27"/>
      <c r="F34" s="27"/>
      <c r="G34" s="27"/>
      <c r="H34" s="27"/>
      <c r="I34" s="30"/>
      <c r="J34" s="30"/>
      <c r="K34" s="12">
        <f>SUM(C34:I34)</f>
        <v>9406.08</v>
      </c>
      <c r="L34" s="3">
        <v>1460.55</v>
      </c>
      <c r="M34" s="3">
        <v>876.95</v>
      </c>
      <c r="N34" s="2">
        <f t="shared" si="9"/>
        <v>67.319999999999709</v>
      </c>
      <c r="O34" s="2">
        <f t="shared" si="1"/>
        <v>2404.8199999999997</v>
      </c>
      <c r="P34" s="18">
        <f t="shared" si="2"/>
        <v>7001.26</v>
      </c>
      <c r="Q34" s="24"/>
      <c r="R34" s="25">
        <v>7001.26</v>
      </c>
    </row>
    <row r="35" spans="1:18" x14ac:dyDescent="0.25">
      <c r="A35" s="45">
        <v>30</v>
      </c>
      <c r="B35" s="16" t="s">
        <v>19</v>
      </c>
      <c r="C35" s="14">
        <f>15344.28+4971.55</f>
        <v>20315.830000000002</v>
      </c>
      <c r="D35" s="27">
        <v>3068.86</v>
      </c>
      <c r="E35" s="27"/>
      <c r="F35" s="27"/>
      <c r="G35" s="27"/>
      <c r="H35" s="27"/>
      <c r="I35" s="30"/>
      <c r="J35" s="30"/>
      <c r="K35" s="12">
        <f t="shared" ref="K35:K41" si="23">SUM(C35:I35)</f>
        <v>23384.690000000002</v>
      </c>
      <c r="L35" s="3">
        <v>5304.67</v>
      </c>
      <c r="M35" s="3">
        <v>876.95</v>
      </c>
      <c r="N35" s="2">
        <f t="shared" si="9"/>
        <v>614.56000000000495</v>
      </c>
      <c r="O35" s="2">
        <f t="shared" si="1"/>
        <v>6796.1800000000048</v>
      </c>
      <c r="P35" s="18">
        <f t="shared" si="2"/>
        <v>16588.509999999998</v>
      </c>
      <c r="Q35" s="24"/>
      <c r="R35" s="25">
        <v>16588.509999999998</v>
      </c>
    </row>
    <row r="36" spans="1:18" x14ac:dyDescent="0.25">
      <c r="A36" s="45">
        <v>31</v>
      </c>
      <c r="B36" s="16" t="s">
        <v>77</v>
      </c>
      <c r="C36" s="14">
        <v>5262.28</v>
      </c>
      <c r="D36" s="27">
        <v>1052.46</v>
      </c>
      <c r="E36" s="27"/>
      <c r="F36" s="27"/>
      <c r="G36" s="27"/>
      <c r="H36" s="27"/>
      <c r="I36" s="30"/>
      <c r="J36" s="30"/>
      <c r="K36" s="12">
        <f t="shared" si="23"/>
        <v>6314.74</v>
      </c>
      <c r="L36" s="3">
        <v>656.35</v>
      </c>
      <c r="M36" s="3">
        <v>709.97</v>
      </c>
      <c r="N36" s="2">
        <f t="shared" ref="N36" si="24">K36-L36-M36-R36</f>
        <v>59.999999999999091</v>
      </c>
      <c r="O36" s="2">
        <f t="shared" ref="O36" si="25">SUM(L36:N36)</f>
        <v>1426.3199999999993</v>
      </c>
      <c r="P36" s="18">
        <f t="shared" ref="P36" si="26">SUM(K36-O36)</f>
        <v>4888.42</v>
      </c>
      <c r="Q36" s="24"/>
      <c r="R36" s="25">
        <v>4888.42</v>
      </c>
    </row>
    <row r="37" spans="1:18" x14ac:dyDescent="0.25">
      <c r="A37" s="45">
        <v>32</v>
      </c>
      <c r="B37" s="16" t="s">
        <v>58</v>
      </c>
      <c r="C37" s="14">
        <f>6615.54+1032.02</f>
        <v>7647.5599999999995</v>
      </c>
      <c r="D37" s="27">
        <v>1323.11</v>
      </c>
      <c r="E37" s="27"/>
      <c r="F37" s="27"/>
      <c r="G37" s="27"/>
      <c r="H37" s="27"/>
      <c r="I37" s="30"/>
      <c r="J37" s="30"/>
      <c r="K37" s="12">
        <f t="shared" si="23"/>
        <v>8970.67</v>
      </c>
      <c r="L37" s="3">
        <v>1340.81</v>
      </c>
      <c r="M37" s="3">
        <f>230.28+646.67</f>
        <v>876.94999999999993</v>
      </c>
      <c r="N37" s="2">
        <f t="shared" si="9"/>
        <v>32.380000000001019</v>
      </c>
      <c r="O37" s="2">
        <f t="shared" si="1"/>
        <v>2250.1400000000008</v>
      </c>
      <c r="P37" s="18">
        <f t="shared" si="2"/>
        <v>6720.5299999999988</v>
      </c>
      <c r="Q37" s="24"/>
      <c r="R37" s="25">
        <v>6720.53</v>
      </c>
    </row>
    <row r="38" spans="1:18" x14ac:dyDescent="0.25">
      <c r="A38" s="45">
        <v>33</v>
      </c>
      <c r="B38" s="16" t="s">
        <v>20</v>
      </c>
      <c r="C38" s="14">
        <f>5509.76+847.65+764.6</f>
        <v>7122.01</v>
      </c>
      <c r="D38" s="27">
        <f>1271.48+866.66</f>
        <v>2138.14</v>
      </c>
      <c r="E38" s="27"/>
      <c r="F38" s="27"/>
      <c r="G38" s="27"/>
      <c r="H38" s="27"/>
      <c r="I38" s="30"/>
      <c r="J38" s="30"/>
      <c r="K38" s="12">
        <f t="shared" si="23"/>
        <v>9260.15</v>
      </c>
      <c r="L38" s="3">
        <v>1316.15</v>
      </c>
      <c r="M38" s="3">
        <v>876.95</v>
      </c>
      <c r="N38" s="2">
        <f t="shared" si="9"/>
        <v>2373.6999999999998</v>
      </c>
      <c r="O38" s="2">
        <f t="shared" si="1"/>
        <v>4566.8</v>
      </c>
      <c r="P38" s="18">
        <f>SUM(K38-O38)+H38</f>
        <v>4693.3499999999995</v>
      </c>
      <c r="Q38" s="24"/>
      <c r="R38" s="25">
        <v>4693.3500000000004</v>
      </c>
    </row>
    <row r="39" spans="1:18" x14ac:dyDescent="0.25">
      <c r="A39" s="45">
        <v>34</v>
      </c>
      <c r="B39" s="16" t="s">
        <v>55</v>
      </c>
      <c r="C39" s="14">
        <v>3023.55</v>
      </c>
      <c r="D39" s="27"/>
      <c r="E39" s="27"/>
      <c r="F39" s="27"/>
      <c r="G39" s="27"/>
      <c r="H39" s="27"/>
      <c r="I39" s="30"/>
      <c r="J39" s="30"/>
      <c r="K39" s="12">
        <f t="shared" si="23"/>
        <v>3023.55</v>
      </c>
      <c r="L39" s="3">
        <v>28.77</v>
      </c>
      <c r="M39" s="3">
        <v>265.88</v>
      </c>
      <c r="N39" s="2">
        <f t="shared" ref="N39" si="27">K39-L39-M39-R39</f>
        <v>21.349999999999909</v>
      </c>
      <c r="O39" s="2">
        <f t="shared" ref="O39" si="28">SUM(L39:N39)</f>
        <v>315.99999999999989</v>
      </c>
      <c r="P39" s="18">
        <f t="shared" ref="P39" si="29">SUM(K39-O39)</f>
        <v>2707.55</v>
      </c>
      <c r="Q39" s="24"/>
      <c r="R39" s="25">
        <v>2707.55</v>
      </c>
    </row>
    <row r="40" spans="1:18" x14ac:dyDescent="0.25">
      <c r="A40" s="45">
        <v>35</v>
      </c>
      <c r="B40" s="16" t="s">
        <v>21</v>
      </c>
      <c r="C40" s="14">
        <f>3959.24+589.29</f>
        <v>4548.53</v>
      </c>
      <c r="D40" s="27">
        <v>250</v>
      </c>
      <c r="E40" s="27"/>
      <c r="F40" s="27"/>
      <c r="G40" s="27"/>
      <c r="H40" s="27"/>
      <c r="I40" s="30"/>
      <c r="J40" s="30"/>
      <c r="K40" s="12">
        <f t="shared" si="23"/>
        <v>4798.53</v>
      </c>
      <c r="L40" s="3">
        <v>309.14</v>
      </c>
      <c r="M40" s="3">
        <v>497.7</v>
      </c>
      <c r="N40" s="2">
        <f t="shared" si="9"/>
        <v>1062.0799999999995</v>
      </c>
      <c r="O40" s="2">
        <f t="shared" si="1"/>
        <v>1868.9199999999994</v>
      </c>
      <c r="P40" s="18">
        <f t="shared" si="2"/>
        <v>2929.6100000000006</v>
      </c>
      <c r="Q40" s="24"/>
      <c r="R40" s="25">
        <v>2929.61</v>
      </c>
    </row>
    <row r="41" spans="1:18" x14ac:dyDescent="0.25">
      <c r="A41" s="45">
        <v>36</v>
      </c>
      <c r="B41" s="16" t="s">
        <v>22</v>
      </c>
      <c r="C41" s="14">
        <f>15652.7+5259.31</f>
        <v>20912.010000000002</v>
      </c>
      <c r="D41" s="27">
        <v>3130.54</v>
      </c>
      <c r="E41" s="27"/>
      <c r="F41" s="27"/>
      <c r="G41" s="27"/>
      <c r="H41" s="27"/>
      <c r="I41" s="30"/>
      <c r="J41" s="30"/>
      <c r="K41" s="12">
        <f t="shared" si="23"/>
        <v>24042.550000000003</v>
      </c>
      <c r="L41" s="3">
        <v>5381.31</v>
      </c>
      <c r="M41" s="3">
        <v>876.95</v>
      </c>
      <c r="N41" s="2">
        <f t="shared" si="9"/>
        <v>85.380000000001019</v>
      </c>
      <c r="O41" s="2">
        <f t="shared" si="1"/>
        <v>6343.6400000000012</v>
      </c>
      <c r="P41" s="18">
        <f t="shared" si="2"/>
        <v>17698.910000000003</v>
      </c>
      <c r="Q41" s="24"/>
      <c r="R41" s="25">
        <v>17698.91</v>
      </c>
    </row>
    <row r="42" spans="1:18" x14ac:dyDescent="0.25">
      <c r="A42" s="45">
        <v>37</v>
      </c>
      <c r="B42" s="34" t="s">
        <v>23</v>
      </c>
      <c r="C42" s="35">
        <f>2890.63+404.69</f>
        <v>3295.32</v>
      </c>
      <c r="D42" s="28"/>
      <c r="E42" s="28"/>
      <c r="F42" s="28"/>
      <c r="G42" s="28"/>
      <c r="H42" s="28"/>
      <c r="I42" s="33"/>
      <c r="J42" s="33"/>
      <c r="K42" s="36">
        <f t="shared" ref="K42:K51" si="30">SUM(C42:I42)</f>
        <v>3295.32</v>
      </c>
      <c r="L42" s="37">
        <v>49.15</v>
      </c>
      <c r="M42" s="37">
        <v>298.49</v>
      </c>
      <c r="N42" s="38">
        <f t="shared" ref="N42:N63" si="31">K42-L42-M42-R42</f>
        <v>1031.5800000000004</v>
      </c>
      <c r="O42" s="38">
        <f t="shared" si="1"/>
        <v>1379.2200000000003</v>
      </c>
      <c r="P42" s="39">
        <f t="shared" si="2"/>
        <v>1916.1</v>
      </c>
      <c r="Q42" s="24"/>
      <c r="R42" s="25">
        <v>1916.1</v>
      </c>
    </row>
    <row r="43" spans="1:18" x14ac:dyDescent="0.25">
      <c r="A43" s="45">
        <v>38</v>
      </c>
      <c r="B43" s="34" t="s">
        <v>78</v>
      </c>
      <c r="C43" s="35">
        <v>3705.64</v>
      </c>
      <c r="D43" s="28"/>
      <c r="E43" s="28"/>
      <c r="F43" s="28"/>
      <c r="G43" s="28"/>
      <c r="H43" s="28"/>
      <c r="I43" s="33"/>
      <c r="J43" s="33"/>
      <c r="K43" s="36">
        <f t="shared" ref="K43" si="32">SUM(C43:I43)</f>
        <v>3705.64</v>
      </c>
      <c r="L43" s="37">
        <v>104.85</v>
      </c>
      <c r="M43" s="37">
        <v>347.73</v>
      </c>
      <c r="N43" s="38">
        <f t="shared" ref="N43" si="33">K43-L43-M43-R43</f>
        <v>235.59000000000015</v>
      </c>
      <c r="O43" s="38">
        <f t="shared" ref="O43" si="34">SUM(L43:N43)</f>
        <v>688.17000000000019</v>
      </c>
      <c r="P43" s="39">
        <f t="shared" ref="P43" si="35">SUM(K43-O43)</f>
        <v>3017.47</v>
      </c>
      <c r="Q43" s="24"/>
      <c r="R43" s="25">
        <v>3017.47</v>
      </c>
    </row>
    <row r="44" spans="1:18" x14ac:dyDescent="0.25">
      <c r="A44" s="45">
        <v>39</v>
      </c>
      <c r="B44" s="16" t="s">
        <v>24</v>
      </c>
      <c r="C44" s="14">
        <f>4879.34+1352.25</f>
        <v>6231.59</v>
      </c>
      <c r="D44" s="27">
        <v>1000</v>
      </c>
      <c r="E44" s="27"/>
      <c r="F44" s="27"/>
      <c r="G44" s="27"/>
      <c r="H44" s="27"/>
      <c r="I44" s="31"/>
      <c r="J44" s="31"/>
      <c r="K44" s="12">
        <f t="shared" si="30"/>
        <v>7231.59</v>
      </c>
      <c r="L44" s="3">
        <v>873.19</v>
      </c>
      <c r="M44" s="3">
        <v>838.33</v>
      </c>
      <c r="N44" s="2">
        <f t="shared" si="31"/>
        <v>635.96999999999935</v>
      </c>
      <c r="O44" s="2">
        <f t="shared" si="1"/>
        <v>2347.4899999999993</v>
      </c>
      <c r="P44" s="18">
        <f t="shared" si="2"/>
        <v>4884.1000000000004</v>
      </c>
      <c r="Q44" s="24"/>
      <c r="R44" s="25">
        <v>4884.1000000000004</v>
      </c>
    </row>
    <row r="45" spans="1:18" x14ac:dyDescent="0.25">
      <c r="A45" s="45">
        <v>40</v>
      </c>
      <c r="B45" s="16" t="s">
        <v>25</v>
      </c>
      <c r="C45" s="14">
        <f>10354.2+1656.67</f>
        <v>12010.87</v>
      </c>
      <c r="D45" s="27"/>
      <c r="E45" s="27"/>
      <c r="F45" s="27"/>
      <c r="G45" s="27"/>
      <c r="H45" s="27"/>
      <c r="I45" s="31">
        <v>1884.44</v>
      </c>
      <c r="J45" s="31"/>
      <c r="K45" s="12">
        <f t="shared" si="30"/>
        <v>13895.310000000001</v>
      </c>
      <c r="L45" s="3">
        <v>2642.95</v>
      </c>
      <c r="M45" s="3">
        <v>876.95</v>
      </c>
      <c r="N45" s="2">
        <f t="shared" si="31"/>
        <v>913.27000000000044</v>
      </c>
      <c r="O45" s="2">
        <f t="shared" si="1"/>
        <v>4433.17</v>
      </c>
      <c r="P45" s="18">
        <f t="shared" si="2"/>
        <v>9462.1400000000012</v>
      </c>
      <c r="Q45" s="24"/>
      <c r="R45" s="25">
        <v>9462.14</v>
      </c>
    </row>
    <row r="46" spans="1:18" x14ac:dyDescent="0.25">
      <c r="A46" s="45">
        <v>41</v>
      </c>
      <c r="B46" s="16" t="s">
        <v>26</v>
      </c>
      <c r="C46" s="14">
        <f>7223.9+3839.4</f>
        <v>11063.3</v>
      </c>
      <c r="D46" s="27">
        <v>6996.09</v>
      </c>
      <c r="E46" s="27"/>
      <c r="F46" s="27"/>
      <c r="G46" s="27"/>
      <c r="H46" s="27"/>
      <c r="I46" s="31"/>
      <c r="J46" s="31"/>
      <c r="K46" s="12">
        <f t="shared" si="30"/>
        <v>18059.39</v>
      </c>
      <c r="L46" s="3">
        <v>3840.21</v>
      </c>
      <c r="M46" s="3">
        <v>876.95</v>
      </c>
      <c r="N46" s="2">
        <f>K46-L46-M46-R46</f>
        <v>1031.4300000000003</v>
      </c>
      <c r="O46" s="2">
        <f>SUM(L46:N46)</f>
        <v>5748.59</v>
      </c>
      <c r="P46" s="18">
        <f t="shared" si="2"/>
        <v>12310.8</v>
      </c>
      <c r="Q46" s="24"/>
      <c r="R46" s="25">
        <v>12310.8</v>
      </c>
    </row>
    <row r="47" spans="1:18" x14ac:dyDescent="0.25">
      <c r="A47" s="45">
        <v>42</v>
      </c>
      <c r="B47" s="16" t="s">
        <v>27</v>
      </c>
      <c r="C47" s="14">
        <f>6681.7+1282.89</f>
        <v>7964.59</v>
      </c>
      <c r="D47" s="27">
        <v>1336.34</v>
      </c>
      <c r="E47" s="27"/>
      <c r="F47" s="27"/>
      <c r="G47" s="27"/>
      <c r="H47" s="27"/>
      <c r="I47" s="31"/>
      <c r="J47" s="31"/>
      <c r="K47" s="12">
        <f t="shared" si="30"/>
        <v>9300.93</v>
      </c>
      <c r="L47" s="3">
        <v>1327.36</v>
      </c>
      <c r="M47" s="3">
        <f>377+499.95</f>
        <v>876.95</v>
      </c>
      <c r="N47" s="2">
        <f t="shared" si="31"/>
        <v>615.21000000000095</v>
      </c>
      <c r="O47" s="2">
        <f t="shared" si="1"/>
        <v>2819.5200000000009</v>
      </c>
      <c r="P47" s="18">
        <f t="shared" si="2"/>
        <v>6481.41</v>
      </c>
      <c r="Q47" s="24"/>
      <c r="R47" s="25">
        <v>6481.41</v>
      </c>
    </row>
    <row r="48" spans="1:18" x14ac:dyDescent="0.25">
      <c r="A48" s="45">
        <v>43</v>
      </c>
      <c r="B48" s="16" t="s">
        <v>79</v>
      </c>
      <c r="C48" s="14">
        <v>2632.91</v>
      </c>
      <c r="D48" s="27"/>
      <c r="E48" s="27"/>
      <c r="F48" s="27"/>
      <c r="G48" s="27"/>
      <c r="H48" s="27"/>
      <c r="I48" s="31"/>
      <c r="J48" s="31"/>
      <c r="K48" s="12">
        <f t="shared" si="30"/>
        <v>2632.91</v>
      </c>
      <c r="L48" s="3"/>
      <c r="M48" s="3">
        <v>219</v>
      </c>
      <c r="N48" s="2">
        <f t="shared" ref="N48" si="36">K48-L48-M48-R48</f>
        <v>58.670000000000073</v>
      </c>
      <c r="O48" s="2">
        <f t="shared" ref="O48" si="37">SUM(L48:N48)</f>
        <v>277.67000000000007</v>
      </c>
      <c r="P48" s="18">
        <f t="shared" ref="P48" si="38">SUM(K48-O48)</f>
        <v>2355.2399999999998</v>
      </c>
      <c r="Q48" s="24"/>
      <c r="R48" s="25">
        <v>2355.2399999999998</v>
      </c>
    </row>
    <row r="49" spans="1:18" x14ac:dyDescent="0.25">
      <c r="A49" s="45">
        <v>44</v>
      </c>
      <c r="B49" s="16" t="s">
        <v>28</v>
      </c>
      <c r="C49" s="14">
        <v>9607.94</v>
      </c>
      <c r="D49" s="27"/>
      <c r="E49" s="27"/>
      <c r="F49" s="27"/>
      <c r="G49" s="27"/>
      <c r="H49" s="27"/>
      <c r="I49" s="31"/>
      <c r="J49" s="31"/>
      <c r="K49" s="12">
        <f t="shared" si="30"/>
        <v>9607.94</v>
      </c>
      <c r="L49" s="3">
        <v>1463.93</v>
      </c>
      <c r="M49" s="3">
        <f>712.09+164.86</f>
        <v>876.95</v>
      </c>
      <c r="N49" s="2">
        <f t="shared" si="31"/>
        <v>1412.2600000000002</v>
      </c>
      <c r="O49" s="2">
        <f t="shared" si="1"/>
        <v>3753.1400000000003</v>
      </c>
      <c r="P49" s="18">
        <f>SUM(K49-O49)+H49</f>
        <v>5854.8</v>
      </c>
      <c r="Q49" s="24"/>
      <c r="R49" s="25">
        <v>5854.8</v>
      </c>
    </row>
    <row r="50" spans="1:18" x14ac:dyDescent="0.25">
      <c r="A50" s="45">
        <v>45</v>
      </c>
      <c r="B50" s="16" t="s">
        <v>29</v>
      </c>
      <c r="C50" s="14">
        <f>5848.72+912.4</f>
        <v>6761.12</v>
      </c>
      <c r="D50" s="27">
        <v>1169.74</v>
      </c>
      <c r="E50" s="27"/>
      <c r="F50" s="27">
        <f>179.96+899.8+140.37+406.71</f>
        <v>1626.8400000000001</v>
      </c>
      <c r="G50" s="27"/>
      <c r="H50" s="27"/>
      <c r="I50" s="31"/>
      <c r="J50" s="31"/>
      <c r="K50" s="12">
        <f t="shared" si="30"/>
        <v>9557.7000000000007</v>
      </c>
      <c r="L50" s="3">
        <f>1093.45+1670.02</f>
        <v>2763.4700000000003</v>
      </c>
      <c r="M50" s="3">
        <f>736.64+140.31</f>
        <v>876.95</v>
      </c>
      <c r="N50" s="2">
        <f t="shared" si="31"/>
        <v>996.65000000000055</v>
      </c>
      <c r="O50" s="2">
        <f t="shared" si="1"/>
        <v>4637.0700000000006</v>
      </c>
      <c r="P50" s="18">
        <f>SUM(K50-O50)+H50</f>
        <v>4920.63</v>
      </c>
      <c r="Q50" s="24"/>
      <c r="R50" s="25">
        <v>4920.63</v>
      </c>
    </row>
    <row r="51" spans="1:18" x14ac:dyDescent="0.25">
      <c r="A51" s="45">
        <v>46</v>
      </c>
      <c r="B51" s="16" t="s">
        <v>30</v>
      </c>
      <c r="C51" s="14">
        <v>5813.37</v>
      </c>
      <c r="D51" s="27"/>
      <c r="E51" s="27"/>
      <c r="F51" s="27"/>
      <c r="G51" s="27"/>
      <c r="H51" s="27"/>
      <c r="I51" s="31"/>
      <c r="J51" s="31"/>
      <c r="K51" s="12">
        <f t="shared" si="30"/>
        <v>5813.37</v>
      </c>
      <c r="L51" s="3">
        <v>433.5</v>
      </c>
      <c r="M51" s="3">
        <v>639.78</v>
      </c>
      <c r="N51" s="2">
        <f t="shared" si="31"/>
        <v>906.82999999999993</v>
      </c>
      <c r="O51" s="2">
        <f t="shared" si="1"/>
        <v>1980.11</v>
      </c>
      <c r="P51" s="18">
        <f t="shared" si="2"/>
        <v>3833.26</v>
      </c>
      <c r="Q51" s="24"/>
      <c r="R51" s="25">
        <v>3833.26</v>
      </c>
    </row>
    <row r="52" spans="1:18" x14ac:dyDescent="0.25">
      <c r="A52" s="45">
        <v>47</v>
      </c>
      <c r="B52" s="16" t="s">
        <v>31</v>
      </c>
      <c r="C52" s="14">
        <f>6681.7+1403.16</f>
        <v>8084.86</v>
      </c>
      <c r="D52" s="27">
        <v>2672.68</v>
      </c>
      <c r="E52" s="27"/>
      <c r="F52" s="27"/>
      <c r="G52" s="27"/>
      <c r="H52" s="27"/>
      <c r="I52" s="31"/>
      <c r="J52" s="31"/>
      <c r="K52" s="12">
        <f t="shared" ref="K52:K60" si="39">SUM(C52:I52)</f>
        <v>10757.539999999999</v>
      </c>
      <c r="L52" s="3">
        <v>1780.07</v>
      </c>
      <c r="M52" s="3">
        <f>689.75+187.2</f>
        <v>876.95</v>
      </c>
      <c r="N52" s="2">
        <f t="shared" si="31"/>
        <v>320.11999999999989</v>
      </c>
      <c r="O52" s="2">
        <f t="shared" si="1"/>
        <v>2977.14</v>
      </c>
      <c r="P52" s="18">
        <f t="shared" si="2"/>
        <v>7780.4</v>
      </c>
      <c r="Q52" s="24"/>
      <c r="R52" s="25">
        <v>7780.4</v>
      </c>
    </row>
    <row r="53" spans="1:18" x14ac:dyDescent="0.25">
      <c r="A53" s="45">
        <v>48</v>
      </c>
      <c r="B53" s="16" t="s">
        <v>32</v>
      </c>
      <c r="C53" s="14">
        <f>6952.69+695.27</f>
        <v>7647.9599999999991</v>
      </c>
      <c r="D53" s="27"/>
      <c r="E53" s="27"/>
      <c r="F53" s="27"/>
      <c r="G53" s="27"/>
      <c r="H53" s="27"/>
      <c r="I53" s="31"/>
      <c r="J53" s="31"/>
      <c r="K53" s="12">
        <f t="shared" si="39"/>
        <v>7647.9599999999991</v>
      </c>
      <c r="L53" s="3">
        <v>924.93</v>
      </c>
      <c r="M53" s="3">
        <f>749.76+127.19</f>
        <v>876.95</v>
      </c>
      <c r="N53" s="2">
        <f t="shared" si="31"/>
        <v>1079.7399999999989</v>
      </c>
      <c r="O53" s="2">
        <f t="shared" si="1"/>
        <v>2881.619999999999</v>
      </c>
      <c r="P53" s="18">
        <f t="shared" si="2"/>
        <v>4766.34</v>
      </c>
      <c r="Q53" s="24"/>
      <c r="R53" s="25">
        <v>4766.34</v>
      </c>
    </row>
    <row r="54" spans="1:18" x14ac:dyDescent="0.25">
      <c r="A54" s="45">
        <v>49</v>
      </c>
      <c r="B54" s="16" t="s">
        <v>54</v>
      </c>
      <c r="C54" s="14">
        <f>1439.79+86.39</f>
        <v>1526.18</v>
      </c>
      <c r="D54" s="27"/>
      <c r="E54" s="27"/>
      <c r="F54" s="27">
        <f>1439.79+86.39+508.73</f>
        <v>2034.91</v>
      </c>
      <c r="G54" s="27"/>
      <c r="H54" s="27"/>
      <c r="I54" s="31"/>
      <c r="J54" s="31"/>
      <c r="K54" s="12">
        <f t="shared" si="39"/>
        <v>3561.09</v>
      </c>
      <c r="L54" s="3"/>
      <c r="M54" s="3">
        <f>167.04+163.34</f>
        <v>330.38</v>
      </c>
      <c r="N54" s="2">
        <f t="shared" ref="N54" si="40">K54-L54-M54-R54</f>
        <v>1906.9</v>
      </c>
      <c r="O54" s="2">
        <f t="shared" ref="O54" si="41">SUM(L54:N54)</f>
        <v>2237.2800000000002</v>
      </c>
      <c r="P54" s="18">
        <f t="shared" ref="P54" si="42">SUM(K54-O54)</f>
        <v>1323.81</v>
      </c>
      <c r="Q54" s="24"/>
      <c r="R54" s="25">
        <v>1323.81</v>
      </c>
    </row>
    <row r="55" spans="1:18" x14ac:dyDescent="0.25">
      <c r="A55" s="45">
        <v>50</v>
      </c>
      <c r="B55" s="16" t="s">
        <v>33</v>
      </c>
      <c r="C55" s="14">
        <f>15497.73+5765.16</f>
        <v>21262.89</v>
      </c>
      <c r="D55" s="27">
        <v>3099.55</v>
      </c>
      <c r="E55" s="27"/>
      <c r="F55" s="27"/>
      <c r="G55" s="27"/>
      <c r="H55" s="27"/>
      <c r="I55" s="31"/>
      <c r="J55" s="31"/>
      <c r="K55" s="12">
        <f t="shared" si="39"/>
        <v>24362.44</v>
      </c>
      <c r="L55" s="3">
        <v>5573.55</v>
      </c>
      <c r="M55" s="3">
        <v>876.95</v>
      </c>
      <c r="N55" s="2">
        <f t="shared" si="31"/>
        <v>329.54999999999927</v>
      </c>
      <c r="O55" s="2">
        <f t="shared" si="1"/>
        <v>6780.0499999999993</v>
      </c>
      <c r="P55" s="18">
        <f>SUM(K55-O55)+H55</f>
        <v>17582.39</v>
      </c>
      <c r="Q55" s="24"/>
      <c r="R55" s="25">
        <v>17582.39</v>
      </c>
    </row>
    <row r="56" spans="1:18" x14ac:dyDescent="0.25">
      <c r="A56" s="45">
        <v>51</v>
      </c>
      <c r="B56" s="16" t="s">
        <v>34</v>
      </c>
      <c r="C56" s="14">
        <v>3386.67</v>
      </c>
      <c r="D56" s="27"/>
      <c r="E56" s="27"/>
      <c r="F56" s="27"/>
      <c r="G56" s="27"/>
      <c r="H56" s="27"/>
      <c r="I56" s="31"/>
      <c r="J56" s="31"/>
      <c r="K56" s="12">
        <f t="shared" si="39"/>
        <v>3386.67</v>
      </c>
      <c r="L56" s="3">
        <v>58.4</v>
      </c>
      <c r="M56" s="3">
        <v>309.45</v>
      </c>
      <c r="N56" s="2">
        <f t="shared" si="31"/>
        <v>46.650000000000091</v>
      </c>
      <c r="O56" s="2">
        <f t="shared" si="1"/>
        <v>414.50000000000006</v>
      </c>
      <c r="P56" s="18">
        <f t="shared" si="2"/>
        <v>2972.17</v>
      </c>
      <c r="Q56" s="24"/>
      <c r="R56" s="25">
        <v>2972.17</v>
      </c>
    </row>
    <row r="57" spans="1:18" x14ac:dyDescent="0.25">
      <c r="A57" s="45">
        <v>52</v>
      </c>
      <c r="B57" s="16" t="s">
        <v>72</v>
      </c>
      <c r="C57" s="14">
        <f>1908.96+43.18</f>
        <v>1952.14</v>
      </c>
      <c r="D57" s="27">
        <v>250</v>
      </c>
      <c r="E57" s="27"/>
      <c r="F57" s="27">
        <f>1908.96+38.18+649.05</f>
        <v>2596.19</v>
      </c>
      <c r="G57" s="27"/>
      <c r="H57" s="27"/>
      <c r="I57" s="31"/>
      <c r="J57" s="31"/>
      <c r="K57" s="12">
        <f t="shared" si="39"/>
        <v>4798.33</v>
      </c>
      <c r="L57" s="3"/>
      <c r="M57" s="3">
        <f>283.08+214.59</f>
        <v>497.66999999999996</v>
      </c>
      <c r="N57" s="2">
        <f t="shared" ref="N57" si="43">K57-L57-M57-R57</f>
        <v>2457.2399999999998</v>
      </c>
      <c r="O57" s="2">
        <f t="shared" ref="O57" si="44">SUM(L57:N57)</f>
        <v>2954.91</v>
      </c>
      <c r="P57" s="18">
        <f t="shared" ref="P57" si="45">SUM(K57-O57)</f>
        <v>1843.42</v>
      </c>
      <c r="Q57" s="24"/>
      <c r="R57" s="25">
        <v>1843.42</v>
      </c>
    </row>
    <row r="58" spans="1:18" x14ac:dyDescent="0.25">
      <c r="A58" s="45">
        <v>53</v>
      </c>
      <c r="B58" s="16" t="s">
        <v>80</v>
      </c>
      <c r="C58" s="14">
        <v>3705.64</v>
      </c>
      <c r="D58" s="27"/>
      <c r="E58" s="27"/>
      <c r="F58" s="27"/>
      <c r="G58" s="27"/>
      <c r="H58" s="27"/>
      <c r="I58" s="31"/>
      <c r="J58" s="31"/>
      <c r="K58" s="12">
        <f t="shared" si="39"/>
        <v>3705.64</v>
      </c>
      <c r="L58" s="3">
        <v>106.25</v>
      </c>
      <c r="M58" s="3">
        <v>347.73</v>
      </c>
      <c r="N58" s="2">
        <f t="shared" ref="N58" si="46">K58-L58-M58-R58</f>
        <v>75.639999999999873</v>
      </c>
      <c r="O58" s="2">
        <f t="shared" ref="O58" si="47">SUM(L58:N58)</f>
        <v>529.61999999999989</v>
      </c>
      <c r="P58" s="18">
        <f t="shared" ref="P58" si="48">SUM(K58-O58)</f>
        <v>3176.02</v>
      </c>
      <c r="Q58" s="24"/>
      <c r="R58" s="25">
        <v>3176.02</v>
      </c>
    </row>
    <row r="59" spans="1:18" x14ac:dyDescent="0.25">
      <c r="A59" s="45">
        <v>54</v>
      </c>
      <c r="B59" s="16" t="s">
        <v>35</v>
      </c>
      <c r="C59" s="14">
        <f>13678.1+6510.78</f>
        <v>20188.88</v>
      </c>
      <c r="D59" s="27">
        <v>5471.24</v>
      </c>
      <c r="E59" s="27"/>
      <c r="F59" s="27"/>
      <c r="G59" s="27"/>
      <c r="H59" s="27"/>
      <c r="I59" s="31"/>
      <c r="J59" s="31"/>
      <c r="K59" s="12">
        <f t="shared" si="39"/>
        <v>25660.120000000003</v>
      </c>
      <c r="L59" s="3">
        <v>5878.27</v>
      </c>
      <c r="M59" s="3">
        <v>876.95</v>
      </c>
      <c r="N59" s="2">
        <f t="shared" si="31"/>
        <v>1776.8700000000026</v>
      </c>
      <c r="O59" s="2">
        <f t="shared" si="1"/>
        <v>8532.0900000000038</v>
      </c>
      <c r="P59" s="18">
        <f>SUM(K59-O59)+H59</f>
        <v>17128.03</v>
      </c>
      <c r="Q59" s="24"/>
      <c r="R59" s="25">
        <v>17128.03</v>
      </c>
    </row>
    <row r="60" spans="1:18" x14ac:dyDescent="0.25">
      <c r="A60" s="45">
        <v>55</v>
      </c>
      <c r="B60" s="16" t="s">
        <v>36</v>
      </c>
      <c r="C60" s="14">
        <v>7131.29</v>
      </c>
      <c r="D60" s="27"/>
      <c r="E60" s="27"/>
      <c r="F60" s="27"/>
      <c r="G60" s="27"/>
      <c r="H60" s="27"/>
      <c r="I60" s="31"/>
      <c r="J60" s="31"/>
      <c r="K60" s="12">
        <f t="shared" si="39"/>
        <v>7131.29</v>
      </c>
      <c r="L60" s="3">
        <v>797.33</v>
      </c>
      <c r="M60" s="3">
        <v>824.28</v>
      </c>
      <c r="N60" s="2">
        <f t="shared" si="31"/>
        <v>1688.6600000000003</v>
      </c>
      <c r="O60" s="2">
        <f t="shared" si="1"/>
        <v>3310.2700000000004</v>
      </c>
      <c r="P60" s="18">
        <f t="shared" si="2"/>
        <v>3821.0199999999995</v>
      </c>
      <c r="Q60" s="24"/>
      <c r="R60" s="25">
        <v>3821.02</v>
      </c>
    </row>
    <row r="61" spans="1:18" x14ac:dyDescent="0.25">
      <c r="A61" s="45">
        <v>56</v>
      </c>
      <c r="B61" s="16" t="s">
        <v>59</v>
      </c>
      <c r="C61" s="14">
        <f>4793.28+191.73</f>
        <v>4985.0099999999993</v>
      </c>
      <c r="D61" s="27"/>
      <c r="E61" s="27"/>
      <c r="F61" s="27">
        <f>715.74+1.07+28.67+248.5</f>
        <v>993.98</v>
      </c>
      <c r="G61" s="27">
        <f>1789.35+2.68+71.68+621.24</f>
        <v>2484.9499999999998</v>
      </c>
      <c r="H61" s="27"/>
      <c r="I61" s="31"/>
      <c r="J61" s="31"/>
      <c r="K61" s="12">
        <f>SUM(C61:I61)</f>
        <v>8463.9399999999987</v>
      </c>
      <c r="L61" s="3">
        <v>337.5</v>
      </c>
      <c r="M61" s="3">
        <f>588.42+74.54</f>
        <v>662.95999999999992</v>
      </c>
      <c r="N61" s="2">
        <f t="shared" ref="N61" si="49">K61-L61-M61-R61</f>
        <v>4528.1399999999985</v>
      </c>
      <c r="O61" s="2">
        <f t="shared" ref="O61" si="50">SUM(L61:N61)</f>
        <v>5528.5999999999985</v>
      </c>
      <c r="P61" s="18">
        <f t="shared" ref="P61" si="51">SUM(K61-O61)</f>
        <v>2935.34</v>
      </c>
      <c r="Q61" s="24"/>
      <c r="R61" s="25">
        <v>2935.34</v>
      </c>
    </row>
    <row r="62" spans="1:18" x14ac:dyDescent="0.25">
      <c r="A62" s="45">
        <v>57</v>
      </c>
      <c r="B62" s="50" t="s">
        <v>81</v>
      </c>
      <c r="C62" s="51">
        <v>3705.64</v>
      </c>
      <c r="D62" s="52"/>
      <c r="E62" s="52"/>
      <c r="F62" s="52"/>
      <c r="G62" s="52"/>
      <c r="H62" s="52"/>
      <c r="I62" s="53"/>
      <c r="J62" s="53"/>
      <c r="K62" s="12">
        <f>SUM(C62:I62)</f>
        <v>3705.64</v>
      </c>
      <c r="L62" s="54">
        <v>106.25</v>
      </c>
      <c r="M62" s="54">
        <v>347.73</v>
      </c>
      <c r="N62" s="2">
        <f t="shared" ref="N62" si="52">K62-L62-M62-R62</f>
        <v>75.639999999999873</v>
      </c>
      <c r="O62" s="2">
        <f t="shared" ref="O62" si="53">SUM(L62:N62)</f>
        <v>529.61999999999989</v>
      </c>
      <c r="P62" s="18">
        <f t="shared" ref="P62" si="54">SUM(K62-O62)</f>
        <v>3176.02</v>
      </c>
      <c r="Q62" s="24"/>
      <c r="R62" s="25">
        <v>3176.02</v>
      </c>
    </row>
    <row r="63" spans="1:18" ht="15.75" thickBot="1" x14ac:dyDescent="0.3">
      <c r="A63" s="45">
        <v>58</v>
      </c>
      <c r="B63" s="17" t="s">
        <v>37</v>
      </c>
      <c r="C63" s="15">
        <f>10562.32+2070.22</f>
        <v>12632.539999999999</v>
      </c>
      <c r="D63" s="29">
        <v>4224.93</v>
      </c>
      <c r="E63" s="29"/>
      <c r="F63" s="29"/>
      <c r="G63" s="29"/>
      <c r="H63" s="29"/>
      <c r="I63" s="32">
        <v>1884.44</v>
      </c>
      <c r="J63" s="32"/>
      <c r="K63" s="13">
        <f>SUM(C63:J63)</f>
        <v>18741.91</v>
      </c>
      <c r="L63" s="10">
        <v>3975.77</v>
      </c>
      <c r="M63" s="10">
        <v>876.95</v>
      </c>
      <c r="N63" s="11">
        <f t="shared" si="31"/>
        <v>171.67999999999847</v>
      </c>
      <c r="O63" s="11">
        <f t="shared" si="1"/>
        <v>5024.3999999999987</v>
      </c>
      <c r="P63" s="19">
        <f t="shared" si="2"/>
        <v>13717.510000000002</v>
      </c>
      <c r="Q63" s="24"/>
      <c r="R63" s="25">
        <v>13717.51</v>
      </c>
    </row>
    <row r="64" spans="1:18" ht="15.75" thickBot="1" x14ac:dyDescent="0.3"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</row>
    <row r="65" spans="2:16" x14ac:dyDescent="0.25">
      <c r="B65" s="64" t="s">
        <v>84</v>
      </c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6"/>
    </row>
    <row r="66" spans="2:16" ht="5.25" customHeight="1" x14ac:dyDescent="0.25">
      <c r="B66" s="58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60"/>
    </row>
    <row r="67" spans="2:16" x14ac:dyDescent="0.25">
      <c r="B67" s="61" t="s">
        <v>68</v>
      </c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3"/>
    </row>
    <row r="68" spans="2:16" x14ac:dyDescent="0.25">
      <c r="B68" s="58" t="s">
        <v>65</v>
      </c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60"/>
    </row>
    <row r="69" spans="2:16" x14ac:dyDescent="0.25">
      <c r="B69" s="58" t="s">
        <v>66</v>
      </c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60"/>
    </row>
    <row r="70" spans="2:16" x14ac:dyDescent="0.25">
      <c r="B70" s="58" t="s">
        <v>67</v>
      </c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60"/>
    </row>
    <row r="71" spans="2:16" ht="15.75" thickBot="1" x14ac:dyDescent="0.3">
      <c r="B71" s="55" t="s">
        <v>83</v>
      </c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7"/>
    </row>
    <row r="72" spans="2:16" x14ac:dyDescent="0.25"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</row>
    <row r="73" spans="2:16" x14ac:dyDescent="0.25">
      <c r="B73" s="6"/>
      <c r="C73" s="5"/>
      <c r="D73" s="5"/>
      <c r="E73" s="5"/>
      <c r="F73" s="5"/>
      <c r="G73" s="5"/>
      <c r="H73" s="5"/>
      <c r="I73" s="5"/>
      <c r="J73" s="5"/>
      <c r="K73" s="46"/>
      <c r="L73" s="5"/>
      <c r="M73" s="5"/>
      <c r="N73" s="5"/>
      <c r="O73" s="46"/>
      <c r="P73" s="5"/>
    </row>
    <row r="74" spans="2:16" x14ac:dyDescent="0.25">
      <c r="B74" s="4"/>
      <c r="C74" s="4"/>
      <c r="D74" s="4"/>
      <c r="E74" s="4"/>
      <c r="F74" s="4"/>
      <c r="G74" s="4"/>
      <c r="H74" s="4"/>
      <c r="I74" s="4"/>
      <c r="J74" s="4"/>
      <c r="K74" s="48"/>
      <c r="L74" s="48"/>
      <c r="M74" s="48"/>
      <c r="N74" s="48"/>
      <c r="O74" s="48"/>
      <c r="P74" s="48"/>
    </row>
    <row r="75" spans="2:16" x14ac:dyDescent="0.25">
      <c r="K75" s="1"/>
      <c r="O75" s="1"/>
      <c r="P75" s="1"/>
    </row>
    <row r="77" spans="2:16" x14ac:dyDescent="0.25">
      <c r="K77" s="1"/>
      <c r="O77" s="1"/>
    </row>
    <row r="78" spans="2:16" x14ac:dyDescent="0.25">
      <c r="K78" s="1"/>
      <c r="L78" s="1"/>
      <c r="M78" s="1"/>
      <c r="N78" s="1"/>
      <c r="P78" s="1"/>
    </row>
  </sheetData>
  <mergeCells count="18">
    <mergeCell ref="B65:P65"/>
    <mergeCell ref="B64:P64"/>
    <mergeCell ref="B1:P1"/>
    <mergeCell ref="B2:P2"/>
    <mergeCell ref="B3:P3"/>
    <mergeCell ref="B5:B6"/>
    <mergeCell ref="C5:C6"/>
    <mergeCell ref="L5:L6"/>
    <mergeCell ref="M5:M6"/>
    <mergeCell ref="E5:E6"/>
    <mergeCell ref="D5:D6"/>
    <mergeCell ref="F5:F6"/>
    <mergeCell ref="B71:P71"/>
    <mergeCell ref="B66:P66"/>
    <mergeCell ref="B67:P67"/>
    <mergeCell ref="B68:P68"/>
    <mergeCell ref="B70:P70"/>
    <mergeCell ref="B69:P69"/>
  </mergeCells>
  <pageMargins left="0.23622047244094491" right="3.937007874015748E-2" top="0.19685039370078741" bottom="0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</cp:lastModifiedBy>
  <cp:lastPrinted>2023-03-23T19:32:59Z</cp:lastPrinted>
  <dcterms:created xsi:type="dcterms:W3CDTF">2016-04-28T12:49:34Z</dcterms:created>
  <dcterms:modified xsi:type="dcterms:W3CDTF">2023-08-28T15:55:03Z</dcterms:modified>
</cp:coreProperties>
</file>