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13-13º SALÁRIO\"/>
    </mc:Choice>
  </mc:AlternateContent>
  <xr:revisionPtr revIDLastSave="0" documentId="13_ncr:1_{771EC7B0-9DE7-49FC-9817-7D1EA7F4F8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0" i="6" l="1"/>
  <c r="L56" i="6"/>
  <c r="L51" i="6"/>
  <c r="L50" i="6"/>
  <c r="L39" i="6"/>
  <c r="L34" i="6"/>
  <c r="L33" i="6"/>
  <c r="L28" i="6"/>
  <c r="L12" i="6"/>
  <c r="C64" i="6"/>
  <c r="C58" i="6"/>
  <c r="C56" i="6"/>
  <c r="C45" i="6"/>
  <c r="C39" i="6"/>
  <c r="C36" i="6"/>
  <c r="C35" i="6"/>
  <c r="C26" i="6"/>
  <c r="D15" i="6"/>
  <c r="C10" i="6"/>
  <c r="C9" i="6"/>
  <c r="C8" i="6"/>
  <c r="C7" i="6"/>
  <c r="C62" i="6"/>
  <c r="C61" i="6"/>
  <c r="C60" i="6"/>
  <c r="C48" i="6"/>
  <c r="C43" i="6"/>
  <c r="C30" i="6"/>
  <c r="C20" i="6"/>
  <c r="C13" i="6"/>
  <c r="C14" i="6"/>
  <c r="C46" i="6" l="1"/>
  <c r="C54" i="6"/>
  <c r="C51" i="6"/>
  <c r="C18" i="6"/>
  <c r="G16" i="6"/>
  <c r="J16" i="6" s="1"/>
  <c r="K16" i="6" s="1"/>
  <c r="L16" i="6" s="1"/>
  <c r="C41" i="6"/>
  <c r="C53" i="6"/>
  <c r="C38" i="6"/>
  <c r="C12" i="6"/>
  <c r="C47" i="6"/>
  <c r="C42" i="6"/>
  <c r="C34" i="6"/>
  <c r="C33" i="6"/>
  <c r="G31" i="6"/>
  <c r="J31" i="6" s="1"/>
  <c r="K31" i="6" s="1"/>
  <c r="L31" i="6" s="1"/>
  <c r="G30" i="6"/>
  <c r="C29" i="6"/>
  <c r="C28" i="6"/>
  <c r="C27" i="6"/>
  <c r="C25" i="6"/>
  <c r="C24" i="6"/>
  <c r="C17" i="6"/>
  <c r="C15" i="6"/>
  <c r="G21" i="6"/>
  <c r="J21" i="6" s="1"/>
  <c r="G63" i="6"/>
  <c r="J63" i="6" s="1"/>
  <c r="K63" i="6" s="1"/>
  <c r="L63" i="6" s="1"/>
  <c r="G59" i="6"/>
  <c r="J59" i="6" s="1"/>
  <c r="K59" i="6" s="1"/>
  <c r="G49" i="6"/>
  <c r="J49" i="6" s="1"/>
  <c r="K49" i="6" s="1"/>
  <c r="L49" i="6" s="1"/>
  <c r="G44" i="6"/>
  <c r="J44" i="6" s="1"/>
  <c r="K44" i="6" s="1"/>
  <c r="L44" i="6" s="1"/>
  <c r="G37" i="6"/>
  <c r="J37" i="6" s="1"/>
  <c r="K37" i="6" s="1"/>
  <c r="L37" i="6" s="1"/>
  <c r="G23" i="6"/>
  <c r="G11" i="6"/>
  <c r="J30" i="6" l="1"/>
  <c r="K30" i="6" s="1"/>
  <c r="L30" i="6" s="1"/>
  <c r="K21" i="6"/>
  <c r="L21" i="6" s="1"/>
  <c r="L59" i="6"/>
  <c r="J23" i="6"/>
  <c r="K23" i="6" s="1"/>
  <c r="L23" i="6" s="1"/>
  <c r="J11" i="6"/>
  <c r="K11" i="6" s="1"/>
  <c r="L11" i="6" s="1"/>
  <c r="G58" i="6"/>
  <c r="G64" i="6" l="1"/>
  <c r="G46" i="6"/>
  <c r="J58" i="6"/>
  <c r="K58" i="6" s="1"/>
  <c r="L58" i="6" s="1"/>
  <c r="G14" i="6"/>
  <c r="G10" i="6"/>
  <c r="J10" i="6" s="1"/>
  <c r="K10" i="6" s="1"/>
  <c r="L10" i="6" s="1"/>
  <c r="J14" i="6" l="1"/>
  <c r="K14" i="6" s="1"/>
  <c r="L14" i="6" s="1"/>
  <c r="G56" i="6" l="1"/>
  <c r="G48" i="6"/>
  <c r="G47" i="6"/>
  <c r="G45" i="6"/>
  <c r="G36" i="6"/>
  <c r="G50" i="6"/>
  <c r="G52" i="6"/>
  <c r="G53" i="6"/>
  <c r="G54" i="6"/>
  <c r="G55" i="6"/>
  <c r="G57" i="6"/>
  <c r="G60" i="6"/>
  <c r="G61" i="6"/>
  <c r="G62" i="6"/>
  <c r="G43" i="6"/>
  <c r="G42" i="6"/>
  <c r="G32" i="6"/>
  <c r="G33" i="6"/>
  <c r="G34" i="6"/>
  <c r="G35" i="6"/>
  <c r="G38" i="6"/>
  <c r="G39" i="6"/>
  <c r="G40" i="6"/>
  <c r="G41" i="6"/>
  <c r="G8" i="6"/>
  <c r="G9" i="6"/>
  <c r="G12" i="6"/>
  <c r="G13" i="6"/>
  <c r="G17" i="6"/>
  <c r="G18" i="6"/>
  <c r="G19" i="6"/>
  <c r="G20" i="6"/>
  <c r="G22" i="6"/>
  <c r="G24" i="6"/>
  <c r="G25" i="6"/>
  <c r="G26" i="6"/>
  <c r="G27" i="6"/>
  <c r="G28" i="6"/>
  <c r="G29" i="6"/>
  <c r="G7" i="6"/>
  <c r="G51" i="6" l="1"/>
  <c r="G15" i="6"/>
  <c r="J62" i="6" l="1"/>
  <c r="K62" i="6" s="1"/>
  <c r="L62" i="6" s="1"/>
  <c r="J33" i="6" l="1"/>
  <c r="K33" i="6" s="1"/>
  <c r="J9" i="6" l="1"/>
  <c r="K9" i="6" s="1"/>
  <c r="L9" i="6" s="1"/>
  <c r="J40" i="6" l="1"/>
  <c r="K40" i="6" s="1"/>
  <c r="L40" i="6" s="1"/>
  <c r="J55" i="6" l="1"/>
  <c r="K55" i="6" s="1"/>
  <c r="L55" i="6" s="1"/>
  <c r="J17" i="6" l="1"/>
  <c r="K17" i="6" s="1"/>
  <c r="L17" i="6" s="1"/>
  <c r="J13" i="6" l="1"/>
  <c r="K13" i="6" s="1"/>
  <c r="L13" i="6" s="1"/>
  <c r="J64" i="6"/>
  <c r="K64" i="6" s="1"/>
  <c r="L64" i="6" s="1"/>
  <c r="J57" i="6"/>
  <c r="K57" i="6" s="1"/>
  <c r="J54" i="6"/>
  <c r="K54" i="6" s="1"/>
  <c r="L54" i="6" s="1"/>
  <c r="J53" i="6"/>
  <c r="K53" i="6" s="1"/>
  <c r="L53" i="6" s="1"/>
  <c r="J52" i="6"/>
  <c r="K52" i="6" s="1"/>
  <c r="J48" i="6"/>
  <c r="K48" i="6" s="1"/>
  <c r="J47" i="6"/>
  <c r="K47" i="6" s="1"/>
  <c r="J46" i="6"/>
  <c r="K46" i="6" s="1"/>
  <c r="L46" i="6" s="1"/>
  <c r="J42" i="6"/>
  <c r="K42" i="6" s="1"/>
  <c r="L42" i="6" s="1"/>
  <c r="J38" i="6"/>
  <c r="K38" i="6" s="1"/>
  <c r="L38" i="6" s="1"/>
  <c r="J36" i="6"/>
  <c r="K36" i="6" s="1"/>
  <c r="L36" i="6" s="1"/>
  <c r="J35" i="6"/>
  <c r="K35" i="6" s="1"/>
  <c r="L35" i="6" s="1"/>
  <c r="J32" i="6"/>
  <c r="K32" i="6" s="1"/>
  <c r="L32" i="6" s="1"/>
  <c r="J29" i="6"/>
  <c r="K29" i="6" s="1"/>
  <c r="L29" i="6" s="1"/>
  <c r="J27" i="6"/>
  <c r="K27" i="6" s="1"/>
  <c r="L27" i="6" s="1"/>
  <c r="J26" i="6"/>
  <c r="K26" i="6" s="1"/>
  <c r="L26" i="6" s="1"/>
  <c r="J25" i="6"/>
  <c r="K25" i="6" s="1"/>
  <c r="L25" i="6" s="1"/>
  <c r="J24" i="6"/>
  <c r="K24" i="6" s="1"/>
  <c r="L24" i="6" s="1"/>
  <c r="J20" i="6"/>
  <c r="K20" i="6" s="1"/>
  <c r="L20" i="6" s="1"/>
  <c r="J7" i="6"/>
  <c r="K7" i="6" s="1"/>
  <c r="L7" i="6" s="1"/>
  <c r="J45" i="6" l="1"/>
  <c r="K45" i="6" s="1"/>
  <c r="L45" i="6" s="1"/>
  <c r="J8" i="6"/>
  <c r="J61" i="6"/>
  <c r="K61" i="6" s="1"/>
  <c r="L61" i="6" s="1"/>
  <c r="J18" i="6"/>
  <c r="K18" i="6" s="1"/>
  <c r="L18" i="6" s="1"/>
  <c r="J56" i="6"/>
  <c r="K56" i="6" s="1"/>
  <c r="J50" i="6"/>
  <c r="J51" i="6"/>
  <c r="K51" i="6" s="1"/>
  <c r="J60" i="6"/>
  <c r="K60" i="6" s="1"/>
  <c r="J12" i="6"/>
  <c r="K12" i="6" s="1"/>
  <c r="J34" i="6"/>
  <c r="K34" i="6" s="1"/>
  <c r="J28" i="6"/>
  <c r="K28" i="6" s="1"/>
  <c r="J39" i="6"/>
  <c r="K39" i="6" s="1"/>
  <c r="J43" i="6"/>
  <c r="K43" i="6" s="1"/>
  <c r="L43" i="6" s="1"/>
  <c r="J22" i="6"/>
  <c r="K22" i="6" s="1"/>
  <c r="L22" i="6" s="1"/>
  <c r="J19" i="6"/>
  <c r="K19" i="6" s="1"/>
  <c r="L19" i="6" s="1"/>
  <c r="J15" i="6"/>
  <c r="K15" i="6" s="1"/>
  <c r="L15" i="6" s="1"/>
  <c r="L48" i="6"/>
  <c r="L47" i="6"/>
  <c r="L52" i="6"/>
  <c r="J41" i="6"/>
  <c r="K41" i="6" s="1"/>
  <c r="L41" i="6" s="1"/>
  <c r="L57" i="6"/>
  <c r="K50" i="6" l="1"/>
  <c r="K8" i="6"/>
  <c r="L8" i="6" l="1"/>
</calcChain>
</file>

<file path=xl/sharedStrings.xml><?xml version="1.0" encoding="utf-8"?>
<sst xmlns="http://schemas.openxmlformats.org/spreadsheetml/2006/main" count="77" uniqueCount="75">
  <si>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</si>
  <si>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</si>
  <si>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</si>
  <si>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</si>
  <si>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</si>
  <si>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</si>
  <si>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</si>
  <si>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</si>
  <si>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</si>
  <si>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</si>
  <si>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</si>
  <si>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</si>
  <si>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</si>
  <si>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</si>
  <si>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</si>
  <si>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</si>
  <si>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</si>
  <si>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</si>
  <si>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</si>
  <si>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</si>
  <si>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</si>
  <si>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</si>
  <si>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</si>
  <si>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</si>
  <si>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</si>
  <si>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</si>
  <si>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</si>
  <si>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</si>
  <si>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</si>
  <si>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</si>
  <si>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</si>
  <si>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</si>
  <si>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</si>
  <si>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</si>
  <si>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</si>
  <si>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</si>
  <si>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</si>
  <si>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</si>
  <si>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</si>
  <si>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</si>
  <si>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</si>
  <si>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</si>
  <si>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</si>
  <si>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</si>
  <si>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</si>
  <si>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</si>
  <si>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</si>
  <si>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</si>
  <si>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</si>
  <si>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</si>
  <si>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</si>
  <si>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</si>
  <si>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</si>
  <si>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</si>
  <si>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</si>
  <si>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</si>
  <si>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</si>
  <si>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</si>
  <si>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Adiantamento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</si>
  <si>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</si>
  <si>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</si>
  <si>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</si>
  <si>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</si>
  <si>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</si>
  <si>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</si>
  <si>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</si>
  <si>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</si>
  <si>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</si>
  <si>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</si>
  <si>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</si>
  <si>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JESSICA ROMANI</t>
  </si>
  <si>
    <t>CELSO LUIZ CAVAGLIER WOLF</t>
  </si>
  <si>
    <t>MURILLO GRAZIANI</t>
  </si>
  <si>
    <t>Médias</t>
  </si>
  <si>
    <t>13º SALÁRIO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</si>
</sst>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8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1" xfId="0" applyNumberFormat="1" applyBorder="1" applyProtection="1">
      <protection locked="0"/>
    </xf>
    <xf numFmtId="164" fontId="0" fillId="0" borderId="11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164" fontId="1" fillId="2" borderId="16" xfId="0" applyNumberFormat="1" applyFont="1" applyFill="1" applyBorder="1"/>
    <xf numFmtId="164" fontId="1" fillId="2" borderId="17" xfId="0" applyNumberFormat="1" applyFont="1" applyFill="1" applyBorder="1"/>
    <xf numFmtId="0" fontId="1" fillId="3" borderId="1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5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0" fontId="0" fillId="0" borderId="21" xfId="0" applyBorder="1"/>
    <xf numFmtId="164" fontId="1" fillId="4" borderId="22" xfId="0" applyNumberFormat="1" applyFont="1" applyFill="1" applyBorder="1" applyProtection="1">
      <protection locked="0"/>
    </xf>
    <xf numFmtId="164" fontId="1" fillId="4" borderId="22" xfId="0" applyNumberFormat="1" applyFont="1" applyFill="1" applyBorder="1"/>
    <xf numFmtId="164" fontId="0" fillId="0" borderId="20" xfId="0" applyNumberFormat="1" applyBorder="1" applyProtection="1">
      <protection locked="0"/>
    </xf>
    <xf numFmtId="164" fontId="0" fillId="0" borderId="20" xfId="0" applyNumberFormat="1" applyBorder="1"/>
    <xf numFmtId="164" fontId="1" fillId="2" borderId="23" xfId="0" applyNumberFormat="1" applyFont="1" applyFill="1" applyBorder="1"/>
    <xf numFmtId="0" fontId="1" fillId="3" borderId="12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7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0" fillId="0" borderId="24" xfId="0" applyBorder="1"/>
    <xf numFmtId="164" fontId="1" fillId="4" borderId="25" xfId="0" applyNumberFormat="1" applyFont="1" applyFill="1" applyBorder="1" applyProtection="1">
      <protection locked="0"/>
    </xf>
    <xf numFmtId="164" fontId="1" fillId="0" borderId="26" xfId="0" applyNumberFormat="1" applyFont="1" applyBorder="1" applyProtection="1">
      <protection locked="0"/>
    </xf>
    <xf numFmtId="164" fontId="0" fillId="0" borderId="26" xfId="0" applyNumberFormat="1" applyBorder="1" applyProtection="1"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zoomScaleNormal="100" workbookViewId="0">
      <pane xSplit="2" ySplit="6" topLeftCell="C41" activePane="bottomRight" state="frozen"/>
      <selection pane="topRight" activeCell="B1" sqref="B1"/>
      <selection pane="bottomLeft" activeCell="A7" sqref="A7"/>
      <selection pane="bottomRight" activeCell="L67" sqref="L67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3.5703125" customWidth="1"/>
    <col min="7" max="7" width="12.85546875" bestFit="1" customWidth="1"/>
    <col min="8" max="8" width="10.7109375" bestFit="1" customWidth="1"/>
    <col min="9" max="9" width="10.7109375" customWidth="1"/>
    <col min="10" max="12" width="10.5703125" bestFit="1" customWidth="1"/>
    <col min="13" max="13" width="1.42578125" customWidth="1"/>
    <col min="14" max="14" width="15.85546875" customWidth="1" outlineLevel="1"/>
  </cols>
  <sheetData>
    <row r="1" spans="1:15" ht="16.5" x14ac:dyDescent="0.25">
      <c r="B1" s="47" t="s">
        <v>48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16.5" x14ac:dyDescent="0.25">
      <c r="B2" s="47" t="s">
        <v>49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4.5" customHeight="1" thickBot="1" x14ac:dyDescent="0.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19.5" thickBot="1" x14ac:dyDescent="0.35">
      <c r="B4" s="40" t="s">
        <v>74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x14ac:dyDescent="0.25">
      <c r="B5" s="49" t="s">
        <v>47</v>
      </c>
      <c r="C5" s="51" t="s">
        <v>38</v>
      </c>
      <c r="D5" s="55" t="s">
        <v>57</v>
      </c>
      <c r="E5" s="51" t="s">
        <v>73</v>
      </c>
      <c r="F5" s="36" t="s">
        <v>58</v>
      </c>
      <c r="G5" s="20" t="s">
        <v>39</v>
      </c>
      <c r="H5" s="53" t="s">
        <v>41</v>
      </c>
      <c r="I5" s="51" t="s">
        <v>42</v>
      </c>
      <c r="J5" s="20" t="s">
        <v>43</v>
      </c>
      <c r="K5" s="8" t="s">
        <v>45</v>
      </c>
      <c r="L5" s="22" t="s">
        <v>39</v>
      </c>
    </row>
    <row r="6" spans="1:15" ht="15.75" thickBot="1" x14ac:dyDescent="0.3">
      <c r="B6" s="50"/>
      <c r="C6" s="52"/>
      <c r="D6" s="56"/>
      <c r="E6" s="52"/>
      <c r="F6" s="37" t="s">
        <v>50</v>
      </c>
      <c r="G6" s="21" t="s">
        <v>40</v>
      </c>
      <c r="H6" s="54"/>
      <c r="I6" s="52"/>
      <c r="J6" s="21" t="s">
        <v>44</v>
      </c>
      <c r="K6" s="9" t="s">
        <v>44</v>
      </c>
      <c r="L6" s="23" t="s">
        <v>46</v>
      </c>
    </row>
    <row r="7" spans="1:15" x14ac:dyDescent="0.25">
      <c r="A7" s="38">
        <v>1</v>
      </c>
      <c r="B7" s="16" t="s">
        <v>0</v>
      </c>
      <c r="C7" s="14">
        <f>6819.35+889.59</f>
        <v>7708.9400000000005</v>
      </c>
      <c r="D7" s="27">
        <v>3064.97</v>
      </c>
      <c r="E7" s="27">
        <v>148.32</v>
      </c>
      <c r="F7" s="27">
        <v>-5229.2299999999996</v>
      </c>
      <c r="G7" s="12">
        <f t="shared" ref="G7:G38" si="0">SUM(C7:F7)</f>
        <v>5693</v>
      </c>
      <c r="H7" s="3">
        <v>1877.49</v>
      </c>
      <c r="I7" s="3">
        <v>876.95</v>
      </c>
      <c r="J7" s="2">
        <f>G7-H7-I7-N7</f>
        <v>0</v>
      </c>
      <c r="K7" s="2">
        <f t="shared" ref="K7:K64" si="1">SUM(H7:J7)</f>
        <v>2754.44</v>
      </c>
      <c r="L7" s="18">
        <f t="shared" ref="L7:L64" si="2">SUM(G7-K7)</f>
        <v>2938.56</v>
      </c>
      <c r="M7" s="24"/>
      <c r="N7" s="25">
        <v>2938.56</v>
      </c>
    </row>
    <row r="8" spans="1:15" x14ac:dyDescent="0.25">
      <c r="A8" s="38">
        <v>2</v>
      </c>
      <c r="B8" s="16" t="s">
        <v>1</v>
      </c>
      <c r="C8" s="14">
        <f>3444.4+310</f>
        <v>3754.4</v>
      </c>
      <c r="D8" s="27"/>
      <c r="E8" s="27"/>
      <c r="F8" s="27">
        <v>-1540.76</v>
      </c>
      <c r="G8" s="12">
        <f t="shared" si="0"/>
        <v>2213.6400000000003</v>
      </c>
      <c r="H8" s="3">
        <v>111.28</v>
      </c>
      <c r="I8" s="3">
        <v>353.58</v>
      </c>
      <c r="J8" s="2">
        <f t="shared" ref="J8:J14" si="3">G8-H8-I8-N8</f>
        <v>0</v>
      </c>
      <c r="K8" s="2">
        <f t="shared" si="1"/>
        <v>464.86</v>
      </c>
      <c r="L8" s="18">
        <f t="shared" si="2"/>
        <v>1748.7800000000002</v>
      </c>
      <c r="M8" s="24"/>
      <c r="N8" s="25">
        <v>1748.78</v>
      </c>
    </row>
    <row r="9" spans="1:15" x14ac:dyDescent="0.25">
      <c r="A9" s="38">
        <v>3</v>
      </c>
      <c r="B9" s="16" t="s">
        <v>53</v>
      </c>
      <c r="C9" s="14">
        <f>2908.37+298.67</f>
        <v>3207.04</v>
      </c>
      <c r="D9" s="27">
        <v>3064.97</v>
      </c>
      <c r="E9" s="27">
        <v>28.04</v>
      </c>
      <c r="F9" s="27">
        <v>-2271.88</v>
      </c>
      <c r="G9" s="12">
        <f t="shared" si="0"/>
        <v>4028.17</v>
      </c>
      <c r="H9" s="3">
        <v>652.88</v>
      </c>
      <c r="I9" s="3">
        <v>707.91</v>
      </c>
      <c r="J9" s="2">
        <f t="shared" si="3"/>
        <v>0</v>
      </c>
      <c r="K9" s="2">
        <f t="shared" si="1"/>
        <v>1360.79</v>
      </c>
      <c r="L9" s="18">
        <f t="shared" si="2"/>
        <v>2667.38</v>
      </c>
      <c r="M9" s="24"/>
      <c r="N9" s="25">
        <v>2667.38</v>
      </c>
    </row>
    <row r="10" spans="1:15" x14ac:dyDescent="0.25">
      <c r="A10" s="38">
        <v>4</v>
      </c>
      <c r="B10" s="16" t="s">
        <v>61</v>
      </c>
      <c r="C10" s="14">
        <f>5421.73+130.12</f>
        <v>5551.8499999999995</v>
      </c>
      <c r="D10" s="27">
        <v>1084.3499999999999</v>
      </c>
      <c r="E10" s="27"/>
      <c r="F10" s="27">
        <v>-2851.39</v>
      </c>
      <c r="G10" s="12">
        <f t="shared" si="0"/>
        <v>3784.809999999999</v>
      </c>
      <c r="H10" s="3">
        <v>732.38</v>
      </c>
      <c r="I10" s="3">
        <v>754.97</v>
      </c>
      <c r="J10" s="2">
        <f t="shared" ref="J10:J11" si="4">G10-H10-I10-N10</f>
        <v>0</v>
      </c>
      <c r="K10" s="2">
        <f t="shared" ref="K10:K11" si="5">SUM(H10:J10)</f>
        <v>1487.35</v>
      </c>
      <c r="L10" s="18">
        <f t="shared" ref="L10:L11" si="6">SUM(G10-K10)</f>
        <v>2297.4599999999991</v>
      </c>
      <c r="M10" s="24"/>
      <c r="N10" s="25">
        <v>2297.46</v>
      </c>
    </row>
    <row r="11" spans="1:15" x14ac:dyDescent="0.25">
      <c r="A11" s="38">
        <v>5</v>
      </c>
      <c r="B11" s="16" t="s">
        <v>63</v>
      </c>
      <c r="C11" s="14">
        <v>3396.84</v>
      </c>
      <c r="D11" s="27"/>
      <c r="E11" s="27"/>
      <c r="F11" s="27">
        <v>-1698.42</v>
      </c>
      <c r="G11" s="12">
        <f t="shared" si="0"/>
        <v>1698.42</v>
      </c>
      <c r="H11" s="3">
        <v>59.93</v>
      </c>
      <c r="I11" s="3">
        <v>310.67</v>
      </c>
      <c r="J11" s="2">
        <f t="shared" si="4"/>
        <v>0</v>
      </c>
      <c r="K11" s="2">
        <f t="shared" si="5"/>
        <v>370.6</v>
      </c>
      <c r="L11" s="18">
        <f t="shared" si="6"/>
        <v>1327.8200000000002</v>
      </c>
      <c r="M11" s="24"/>
      <c r="N11" s="25">
        <v>1327.82</v>
      </c>
    </row>
    <row r="12" spans="1:15" x14ac:dyDescent="0.25">
      <c r="A12" s="38">
        <v>6</v>
      </c>
      <c r="B12" s="16" t="s">
        <v>2</v>
      </c>
      <c r="C12" s="14">
        <f>3522.55+493.16</f>
        <v>4015.71</v>
      </c>
      <c r="D12" s="27"/>
      <c r="E12" s="27"/>
      <c r="F12" s="27">
        <v>-1968.29</v>
      </c>
      <c r="G12" s="12">
        <f t="shared" si="0"/>
        <v>2047.42</v>
      </c>
      <c r="H12" s="3">
        <v>152.76</v>
      </c>
      <c r="I12" s="3">
        <v>388.1</v>
      </c>
      <c r="J12" s="2">
        <f t="shared" si="3"/>
        <v>0</v>
      </c>
      <c r="K12" s="2">
        <f t="shared" si="1"/>
        <v>540.86</v>
      </c>
      <c r="L12" s="18">
        <f>SUM(G12-K12)</f>
        <v>1506.56</v>
      </c>
      <c r="M12" s="24"/>
      <c r="N12" s="25">
        <v>1506.56</v>
      </c>
      <c r="O12" s="1"/>
    </row>
    <row r="13" spans="1:15" x14ac:dyDescent="0.25">
      <c r="A13" s="38">
        <v>7</v>
      </c>
      <c r="B13" s="16" t="s">
        <v>3</v>
      </c>
      <c r="C13" s="14">
        <f>4171.15+1126.21</f>
        <v>5297.36</v>
      </c>
      <c r="D13" s="27"/>
      <c r="E13" s="27"/>
      <c r="F13" s="27">
        <v>-2550.54</v>
      </c>
      <c r="G13" s="12">
        <f t="shared" si="0"/>
        <v>2746.8199999999997</v>
      </c>
      <c r="H13" s="3">
        <v>415.74</v>
      </c>
      <c r="I13" s="3">
        <v>567.53</v>
      </c>
      <c r="J13" s="2">
        <f t="shared" si="3"/>
        <v>0</v>
      </c>
      <c r="K13" s="2">
        <f t="shared" si="1"/>
        <v>983.27</v>
      </c>
      <c r="L13" s="18">
        <f t="shared" si="2"/>
        <v>1763.5499999999997</v>
      </c>
      <c r="M13" s="24"/>
      <c r="N13" s="25">
        <v>1763.55</v>
      </c>
    </row>
    <row r="14" spans="1:15" x14ac:dyDescent="0.25">
      <c r="A14" s="38">
        <v>8</v>
      </c>
      <c r="B14" s="16" t="s">
        <v>59</v>
      </c>
      <c r="C14" s="14">
        <f>5421.73+130.12</f>
        <v>5551.8499999999995</v>
      </c>
      <c r="D14" s="27">
        <v>1084.3499999999999</v>
      </c>
      <c r="E14" s="27">
        <v>22.22</v>
      </c>
      <c r="F14" s="27">
        <v>-3220.52</v>
      </c>
      <c r="G14" s="12">
        <f t="shared" si="0"/>
        <v>3437.8999999999992</v>
      </c>
      <c r="H14" s="3">
        <v>737.63</v>
      </c>
      <c r="I14" s="3">
        <v>758.08</v>
      </c>
      <c r="J14" s="2">
        <f t="shared" si="3"/>
        <v>0</v>
      </c>
      <c r="K14" s="2">
        <f t="shared" si="1"/>
        <v>1495.71</v>
      </c>
      <c r="L14" s="18">
        <f t="shared" si="2"/>
        <v>1942.1899999999991</v>
      </c>
      <c r="M14" s="24"/>
      <c r="N14" s="25">
        <v>1942.19</v>
      </c>
    </row>
    <row r="15" spans="1:15" x14ac:dyDescent="0.25">
      <c r="A15" s="38">
        <v>9</v>
      </c>
      <c r="B15" s="16" t="s">
        <v>4</v>
      </c>
      <c r="C15" s="14">
        <f>15497.73+8136.31</f>
        <v>23634.04</v>
      </c>
      <c r="D15" s="27">
        <f>6199.09+1549.77</f>
        <v>7748.8600000000006</v>
      </c>
      <c r="E15" s="27">
        <v>28.04</v>
      </c>
      <c r="F15" s="27">
        <v>-15229.97</v>
      </c>
      <c r="G15" s="12">
        <f t="shared" si="0"/>
        <v>16180.970000000003</v>
      </c>
      <c r="H15" s="3">
        <v>7511.89</v>
      </c>
      <c r="I15" s="3">
        <v>876.95</v>
      </c>
      <c r="J15" s="2">
        <f>G15-H15-I15-N15</f>
        <v>0</v>
      </c>
      <c r="K15" s="2">
        <f t="shared" si="1"/>
        <v>8388.84</v>
      </c>
      <c r="L15" s="18">
        <f t="shared" si="2"/>
        <v>7792.1300000000028</v>
      </c>
      <c r="M15" s="24"/>
      <c r="N15" s="25">
        <v>7792.13</v>
      </c>
    </row>
    <row r="16" spans="1:15" x14ac:dyDescent="0.25">
      <c r="A16" s="38">
        <v>10</v>
      </c>
      <c r="B16" s="16" t="s">
        <v>71</v>
      </c>
      <c r="C16" s="14">
        <v>1235.21</v>
      </c>
      <c r="D16" s="27"/>
      <c r="E16" s="27"/>
      <c r="F16" s="27">
        <v>-463.21</v>
      </c>
      <c r="G16" s="12">
        <f t="shared" si="0"/>
        <v>772</v>
      </c>
      <c r="H16" s="3"/>
      <c r="I16" s="3">
        <v>92.64</v>
      </c>
      <c r="J16" s="2">
        <f>G16-H16-I16-N16</f>
        <v>0</v>
      </c>
      <c r="K16" s="2">
        <f t="shared" ref="K16" si="7">SUM(H16:J16)</f>
        <v>92.64</v>
      </c>
      <c r="L16" s="18">
        <f t="shared" ref="L16" si="8">SUM(G16-K16)</f>
        <v>679.36</v>
      </c>
      <c r="M16" s="24"/>
      <c r="N16" s="25">
        <v>679.36</v>
      </c>
    </row>
    <row r="17" spans="1:14" x14ac:dyDescent="0.25">
      <c r="A17" s="38">
        <v>11</v>
      </c>
      <c r="B17" s="16" t="s">
        <v>5</v>
      </c>
      <c r="C17" s="14">
        <f>15344.28+5155.68</f>
        <v>20499.96</v>
      </c>
      <c r="D17" s="27">
        <v>6137.71</v>
      </c>
      <c r="E17" s="27"/>
      <c r="F17" s="27">
        <v>-13056.41</v>
      </c>
      <c r="G17" s="12">
        <f t="shared" si="0"/>
        <v>13581.259999999998</v>
      </c>
      <c r="H17" s="3">
        <v>6199.24</v>
      </c>
      <c r="I17" s="3">
        <v>876.95</v>
      </c>
      <c r="J17" s="2">
        <f t="shared" ref="J17:J42" si="9">G17-H17-I17-N17</f>
        <v>0</v>
      </c>
      <c r="K17" s="2">
        <f t="shared" si="1"/>
        <v>7076.19</v>
      </c>
      <c r="L17" s="18">
        <f t="shared" si="2"/>
        <v>6505.0699999999988</v>
      </c>
      <c r="M17" s="24"/>
      <c r="N17" s="25">
        <v>6505.07</v>
      </c>
    </row>
    <row r="18" spans="1:14" x14ac:dyDescent="0.25">
      <c r="A18" s="38">
        <v>12</v>
      </c>
      <c r="B18" s="16" t="s">
        <v>6</v>
      </c>
      <c r="C18" s="14">
        <f>3584.25+511.68</f>
        <v>4095.93</v>
      </c>
      <c r="D18" s="27">
        <v>1532.5</v>
      </c>
      <c r="E18" s="27"/>
      <c r="F18" s="27">
        <v>-2331.91</v>
      </c>
      <c r="G18" s="12">
        <f t="shared" si="0"/>
        <v>3296.5200000000004</v>
      </c>
      <c r="H18" s="3">
        <v>494.04</v>
      </c>
      <c r="I18" s="3">
        <v>613.88</v>
      </c>
      <c r="J18" s="2">
        <f t="shared" si="9"/>
        <v>0</v>
      </c>
      <c r="K18" s="2">
        <f t="shared" si="1"/>
        <v>1107.92</v>
      </c>
      <c r="L18" s="18">
        <f t="shared" si="2"/>
        <v>2188.6000000000004</v>
      </c>
      <c r="M18" s="24"/>
      <c r="N18" s="25">
        <v>2188.6</v>
      </c>
    </row>
    <row r="19" spans="1:14" x14ac:dyDescent="0.25">
      <c r="A19" s="38">
        <v>13</v>
      </c>
      <c r="B19" s="16" t="s">
        <v>7</v>
      </c>
      <c r="C19" s="14">
        <v>3578.24</v>
      </c>
      <c r="D19" s="27"/>
      <c r="E19" s="27"/>
      <c r="F19" s="27">
        <v>-1415.65</v>
      </c>
      <c r="G19" s="12">
        <f t="shared" si="0"/>
        <v>2162.5899999999997</v>
      </c>
      <c r="H19" s="3">
        <v>87.14</v>
      </c>
      <c r="I19" s="3">
        <v>332.44</v>
      </c>
      <c r="J19" s="2">
        <f t="shared" si="9"/>
        <v>0</v>
      </c>
      <c r="K19" s="2">
        <f t="shared" si="1"/>
        <v>419.58</v>
      </c>
      <c r="L19" s="18">
        <f t="shared" si="2"/>
        <v>1743.0099999999998</v>
      </c>
      <c r="M19" s="24"/>
      <c r="N19" s="25">
        <v>1743.01</v>
      </c>
    </row>
    <row r="20" spans="1:14" x14ac:dyDescent="0.25">
      <c r="A20" s="38">
        <v>14</v>
      </c>
      <c r="B20" s="16" t="s">
        <v>8</v>
      </c>
      <c r="C20" s="14">
        <f>6884.16+1691.35</f>
        <v>8575.51</v>
      </c>
      <c r="D20" s="27">
        <v>3064.97</v>
      </c>
      <c r="E20" s="27"/>
      <c r="F20" s="27">
        <v>-5614.69</v>
      </c>
      <c r="G20" s="12">
        <f t="shared" si="0"/>
        <v>6025.79</v>
      </c>
      <c r="H20" s="3">
        <v>1918.6</v>
      </c>
      <c r="I20" s="3">
        <v>876.95</v>
      </c>
      <c r="J20" s="2">
        <f t="shared" si="9"/>
        <v>0</v>
      </c>
      <c r="K20" s="2">
        <f t="shared" si="1"/>
        <v>2795.55</v>
      </c>
      <c r="L20" s="18">
        <f t="shared" si="2"/>
        <v>3230.24</v>
      </c>
      <c r="M20" s="24"/>
      <c r="N20" s="25">
        <v>3230.24</v>
      </c>
    </row>
    <row r="21" spans="1:14" x14ac:dyDescent="0.25">
      <c r="A21" s="38">
        <v>15</v>
      </c>
      <c r="B21" s="16" t="s">
        <v>69</v>
      </c>
      <c r="C21" s="14">
        <v>1974.68</v>
      </c>
      <c r="D21" s="27"/>
      <c r="E21" s="27"/>
      <c r="F21" s="27">
        <v>-987.34</v>
      </c>
      <c r="G21" s="12">
        <f t="shared" si="0"/>
        <v>987.34</v>
      </c>
      <c r="H21" s="3"/>
      <c r="I21" s="3">
        <v>157.91999999999999</v>
      </c>
      <c r="J21" s="2">
        <f t="shared" ref="J21" si="10">G21-H21-I21-N21</f>
        <v>0</v>
      </c>
      <c r="K21" s="2">
        <f t="shared" ref="K21" si="11">SUM(H21:J21)</f>
        <v>157.91999999999999</v>
      </c>
      <c r="L21" s="18">
        <f t="shared" ref="L21" si="12">SUM(G21-K21)</f>
        <v>829.42000000000007</v>
      </c>
      <c r="M21" s="24"/>
      <c r="N21" s="25">
        <v>829.42</v>
      </c>
    </row>
    <row r="22" spans="1:14" x14ac:dyDescent="0.25">
      <c r="A22" s="38">
        <v>16</v>
      </c>
      <c r="B22" s="16" t="s">
        <v>9</v>
      </c>
      <c r="C22" s="14">
        <v>3785.42</v>
      </c>
      <c r="D22" s="27"/>
      <c r="E22" s="27"/>
      <c r="F22" s="27">
        <v>-1837.05</v>
      </c>
      <c r="G22" s="12">
        <f t="shared" si="0"/>
        <v>1948.3700000000001</v>
      </c>
      <c r="H22" s="3">
        <v>118.21</v>
      </c>
      <c r="I22" s="3">
        <v>357.3</v>
      </c>
      <c r="J22" s="2">
        <f t="shared" si="9"/>
        <v>0</v>
      </c>
      <c r="K22" s="2">
        <f t="shared" si="1"/>
        <v>475.51</v>
      </c>
      <c r="L22" s="18">
        <f t="shared" si="2"/>
        <v>1472.8600000000001</v>
      </c>
      <c r="M22" s="24"/>
      <c r="N22" s="25">
        <v>1472.86</v>
      </c>
    </row>
    <row r="23" spans="1:14" x14ac:dyDescent="0.25">
      <c r="A23" s="38">
        <v>17</v>
      </c>
      <c r="B23" s="16" t="s">
        <v>64</v>
      </c>
      <c r="C23" s="14">
        <v>3396.84</v>
      </c>
      <c r="D23" s="27"/>
      <c r="E23" s="27"/>
      <c r="F23" s="27">
        <v>-1698.42</v>
      </c>
      <c r="G23" s="12">
        <f t="shared" si="0"/>
        <v>1698.42</v>
      </c>
      <c r="H23" s="3">
        <v>59.93</v>
      </c>
      <c r="I23" s="3">
        <v>310.67</v>
      </c>
      <c r="J23" s="2">
        <f t="shared" ref="J23" si="13">G23-H23-I23-N23</f>
        <v>0</v>
      </c>
      <c r="K23" s="2">
        <f t="shared" ref="K23" si="14">SUM(H23:J23)</f>
        <v>370.6</v>
      </c>
      <c r="L23" s="18">
        <f t="shared" ref="L23" si="15">SUM(G23-K23)</f>
        <v>1327.8200000000002</v>
      </c>
      <c r="M23" s="24"/>
      <c r="N23" s="25">
        <v>1327.82</v>
      </c>
    </row>
    <row r="24" spans="1:14" x14ac:dyDescent="0.25">
      <c r="A24" s="38">
        <v>18</v>
      </c>
      <c r="B24" s="16" t="s">
        <v>10</v>
      </c>
      <c r="C24" s="14">
        <f>17119.13+10862.09</f>
        <v>27981.22</v>
      </c>
      <c r="D24" s="27">
        <v>23110.83</v>
      </c>
      <c r="E24" s="27"/>
      <c r="F24" s="27">
        <v>-22607.35</v>
      </c>
      <c r="G24" s="12">
        <f t="shared" si="0"/>
        <v>28484.700000000004</v>
      </c>
      <c r="H24" s="3">
        <v>10327.879999999999</v>
      </c>
      <c r="I24" s="3">
        <v>876.95</v>
      </c>
      <c r="J24" s="2">
        <f t="shared" si="9"/>
        <v>9441.1200000000063</v>
      </c>
      <c r="K24" s="2">
        <f t="shared" si="1"/>
        <v>20645.950000000004</v>
      </c>
      <c r="L24" s="18">
        <f t="shared" si="2"/>
        <v>7838.75</v>
      </c>
      <c r="M24" s="24"/>
      <c r="N24" s="25">
        <v>7838.75</v>
      </c>
    </row>
    <row r="25" spans="1:14" x14ac:dyDescent="0.25">
      <c r="A25" s="38">
        <v>19</v>
      </c>
      <c r="B25" s="16" t="s">
        <v>11</v>
      </c>
      <c r="C25" s="14">
        <f>15497.73+5393.21</f>
        <v>20890.939999999999</v>
      </c>
      <c r="D25" s="27">
        <v>3099.55</v>
      </c>
      <c r="E25" s="27"/>
      <c r="F25" s="27">
        <v>-10722.87</v>
      </c>
      <c r="G25" s="12">
        <f t="shared" si="0"/>
        <v>13267.619999999997</v>
      </c>
      <c r="H25" s="3">
        <v>5419.13</v>
      </c>
      <c r="I25" s="3">
        <v>876.95</v>
      </c>
      <c r="J25" s="2">
        <f t="shared" si="9"/>
        <v>0</v>
      </c>
      <c r="K25" s="2">
        <f t="shared" si="1"/>
        <v>6296.08</v>
      </c>
      <c r="L25" s="18">
        <f t="shared" si="2"/>
        <v>6971.5399999999972</v>
      </c>
      <c r="M25" s="24"/>
      <c r="N25" s="25">
        <v>6971.54</v>
      </c>
    </row>
    <row r="26" spans="1:14" x14ac:dyDescent="0.25">
      <c r="A26" s="38">
        <v>20</v>
      </c>
      <c r="B26" s="16" t="s">
        <v>12</v>
      </c>
      <c r="C26" s="14">
        <f>7051.02+1762.76</f>
        <v>8813.7800000000007</v>
      </c>
      <c r="D26" s="27"/>
      <c r="E26" s="27">
        <v>409.72</v>
      </c>
      <c r="F26" s="27">
        <v>-3839.59</v>
      </c>
      <c r="G26" s="12">
        <f t="shared" si="0"/>
        <v>5383.91</v>
      </c>
      <c r="H26" s="3">
        <v>1306.07</v>
      </c>
      <c r="I26" s="3">
        <v>876.95</v>
      </c>
      <c r="J26" s="2">
        <f t="shared" si="9"/>
        <v>0</v>
      </c>
      <c r="K26" s="2">
        <f t="shared" si="1"/>
        <v>2183.02</v>
      </c>
      <c r="L26" s="18">
        <f t="shared" si="2"/>
        <v>3200.89</v>
      </c>
      <c r="M26" s="24"/>
      <c r="N26" s="25">
        <v>3200.89</v>
      </c>
    </row>
    <row r="27" spans="1:14" x14ac:dyDescent="0.25">
      <c r="A27" s="38">
        <v>21</v>
      </c>
      <c r="B27" s="16" t="s">
        <v>62</v>
      </c>
      <c r="C27" s="14">
        <f>15344.28+5339.81</f>
        <v>20684.09</v>
      </c>
      <c r="D27" s="27">
        <v>3068.86</v>
      </c>
      <c r="E27" s="27"/>
      <c r="F27" s="27">
        <v>-11642.46</v>
      </c>
      <c r="G27" s="12">
        <f t="shared" si="0"/>
        <v>12110.490000000002</v>
      </c>
      <c r="H27" s="3">
        <v>5353.8</v>
      </c>
      <c r="I27" s="3">
        <v>876.95</v>
      </c>
      <c r="J27" s="2">
        <f t="shared" si="9"/>
        <v>1763.9300000000012</v>
      </c>
      <c r="K27" s="2">
        <f t="shared" si="1"/>
        <v>7994.6800000000012</v>
      </c>
      <c r="L27" s="18">
        <f t="shared" si="2"/>
        <v>4115.8100000000004</v>
      </c>
      <c r="M27" s="24"/>
      <c r="N27" s="25">
        <v>4115.8100000000004</v>
      </c>
    </row>
    <row r="28" spans="1:14" x14ac:dyDescent="0.25">
      <c r="A28" s="38">
        <v>22</v>
      </c>
      <c r="B28" s="16" t="s">
        <v>13</v>
      </c>
      <c r="C28" s="14">
        <f>7051.02+2326.84</f>
        <v>9377.86</v>
      </c>
      <c r="D28" s="27"/>
      <c r="E28" s="27"/>
      <c r="F28" s="27">
        <v>-4054.6</v>
      </c>
      <c r="G28" s="12">
        <f t="shared" si="0"/>
        <v>5323.26</v>
      </c>
      <c r="H28" s="3">
        <v>1400.65</v>
      </c>
      <c r="I28" s="3">
        <v>876.95</v>
      </c>
      <c r="J28" s="2">
        <f t="shared" si="9"/>
        <v>0</v>
      </c>
      <c r="K28" s="2">
        <f t="shared" si="1"/>
        <v>2277.6000000000004</v>
      </c>
      <c r="L28" s="18">
        <f>SUM(G28-K28)</f>
        <v>3045.66</v>
      </c>
      <c r="M28" s="24"/>
      <c r="N28" s="25">
        <v>3045.66</v>
      </c>
    </row>
    <row r="29" spans="1:14" x14ac:dyDescent="0.25">
      <c r="A29" s="38">
        <v>23</v>
      </c>
      <c r="B29" s="16" t="s">
        <v>14</v>
      </c>
      <c r="C29" s="14">
        <f>9188.83+826.99</f>
        <v>10015.82</v>
      </c>
      <c r="D29" s="27"/>
      <c r="E29" s="27"/>
      <c r="F29" s="27">
        <v>-4909.24</v>
      </c>
      <c r="G29" s="12">
        <f t="shared" si="0"/>
        <v>5106.58</v>
      </c>
      <c r="H29" s="3">
        <v>1628.23</v>
      </c>
      <c r="I29" s="3">
        <v>876.95</v>
      </c>
      <c r="J29" s="2">
        <f t="shared" si="9"/>
        <v>0</v>
      </c>
      <c r="K29" s="2">
        <f t="shared" si="1"/>
        <v>2505.1800000000003</v>
      </c>
      <c r="L29" s="18">
        <f t="shared" si="2"/>
        <v>2601.3999999999996</v>
      </c>
      <c r="M29" s="24"/>
      <c r="N29" s="25">
        <v>2601.4</v>
      </c>
    </row>
    <row r="30" spans="1:14" x14ac:dyDescent="0.25">
      <c r="A30" s="38">
        <v>24</v>
      </c>
      <c r="B30" s="16" t="s">
        <v>15</v>
      </c>
      <c r="C30" s="14">
        <f>6114.17+1758.73</f>
        <v>7872.9</v>
      </c>
      <c r="D30" s="27">
        <v>1532.5</v>
      </c>
      <c r="E30" s="27"/>
      <c r="F30" s="27">
        <v>-4151.66</v>
      </c>
      <c r="G30" s="12">
        <f t="shared" si="0"/>
        <v>5253.74</v>
      </c>
      <c r="H30" s="3">
        <v>1356.09</v>
      </c>
      <c r="I30" s="3">
        <v>876.95</v>
      </c>
      <c r="J30" s="2">
        <f t="shared" si="9"/>
        <v>0</v>
      </c>
      <c r="K30" s="2">
        <f t="shared" si="1"/>
        <v>2233.04</v>
      </c>
      <c r="L30" s="18">
        <f t="shared" si="2"/>
        <v>3020.7</v>
      </c>
      <c r="M30" s="24"/>
      <c r="N30" s="25">
        <v>3020.7</v>
      </c>
    </row>
    <row r="31" spans="1:14" x14ac:dyDescent="0.25">
      <c r="A31" s="38">
        <v>25</v>
      </c>
      <c r="B31" s="16" t="s">
        <v>70</v>
      </c>
      <c r="C31" s="14">
        <v>2161.62</v>
      </c>
      <c r="D31" s="27"/>
      <c r="E31" s="27"/>
      <c r="F31" s="27">
        <v>-1080.81</v>
      </c>
      <c r="G31" s="12">
        <f t="shared" si="0"/>
        <v>1080.81</v>
      </c>
      <c r="H31" s="3"/>
      <c r="I31" s="3">
        <v>174.74</v>
      </c>
      <c r="J31" s="2">
        <f t="shared" ref="J31" si="16">G31-H31-I31-N31</f>
        <v>0</v>
      </c>
      <c r="K31" s="2">
        <f t="shared" ref="K31" si="17">SUM(H31:J31)</f>
        <v>174.74</v>
      </c>
      <c r="L31" s="18">
        <f t="shared" ref="L31" si="18">SUM(G31-K31)</f>
        <v>906.06999999999994</v>
      </c>
      <c r="M31" s="24"/>
      <c r="N31" s="25">
        <v>906.07</v>
      </c>
    </row>
    <row r="32" spans="1:14" x14ac:dyDescent="0.25">
      <c r="A32" s="38">
        <v>26</v>
      </c>
      <c r="B32" s="16" t="s">
        <v>16</v>
      </c>
      <c r="C32" s="14">
        <v>8707.67</v>
      </c>
      <c r="D32" s="27"/>
      <c r="E32" s="27"/>
      <c r="F32" s="27">
        <v>-4191.26</v>
      </c>
      <c r="G32" s="12">
        <f t="shared" si="0"/>
        <v>4516.41</v>
      </c>
      <c r="H32" s="3">
        <v>1268.49</v>
      </c>
      <c r="I32" s="3">
        <v>876.95</v>
      </c>
      <c r="J32" s="2">
        <f t="shared" si="9"/>
        <v>3.0000000000004547</v>
      </c>
      <c r="K32" s="2">
        <f t="shared" si="1"/>
        <v>2148.4400000000005</v>
      </c>
      <c r="L32" s="18">
        <f t="shared" si="2"/>
        <v>2367.9699999999993</v>
      </c>
      <c r="M32" s="24"/>
      <c r="N32" s="25">
        <v>2367.9699999999998</v>
      </c>
    </row>
    <row r="33" spans="1:14" x14ac:dyDescent="0.25">
      <c r="A33" s="38">
        <v>27</v>
      </c>
      <c r="B33" s="16" t="s">
        <v>54</v>
      </c>
      <c r="C33" s="14">
        <f>6112.34+305.62</f>
        <v>6417.96</v>
      </c>
      <c r="D33" s="27"/>
      <c r="E33" s="27"/>
      <c r="F33" s="27">
        <v>-3114.6</v>
      </c>
      <c r="G33" s="12">
        <f t="shared" si="0"/>
        <v>3303.36</v>
      </c>
      <c r="H33" s="3">
        <v>680.76</v>
      </c>
      <c r="I33" s="3">
        <v>724.42</v>
      </c>
      <c r="J33" s="2">
        <f t="shared" ref="J33" si="19">G33-H33-I33-N33</f>
        <v>0</v>
      </c>
      <c r="K33" s="2">
        <f t="shared" ref="K33" si="20">SUM(H33:J33)</f>
        <v>1405.1799999999998</v>
      </c>
      <c r="L33" s="18">
        <f>SUM(G33-K33)</f>
        <v>1898.1800000000003</v>
      </c>
      <c r="M33" s="24"/>
      <c r="N33" s="25">
        <v>1898.18</v>
      </c>
    </row>
    <row r="34" spans="1:14" x14ac:dyDescent="0.25">
      <c r="A34" s="38">
        <v>28</v>
      </c>
      <c r="B34" s="16" t="s">
        <v>17</v>
      </c>
      <c r="C34" s="14">
        <f>2719.17+625.41</f>
        <v>3344.58</v>
      </c>
      <c r="D34" s="27"/>
      <c r="E34" s="27"/>
      <c r="F34" s="27">
        <v>-1320.36</v>
      </c>
      <c r="G34" s="12">
        <f t="shared" si="0"/>
        <v>2024.22</v>
      </c>
      <c r="H34" s="3">
        <v>52.84</v>
      </c>
      <c r="I34" s="3">
        <v>304.39999999999998</v>
      </c>
      <c r="J34" s="2">
        <f t="shared" si="9"/>
        <v>0</v>
      </c>
      <c r="K34" s="2">
        <f t="shared" si="1"/>
        <v>357.24</v>
      </c>
      <c r="L34" s="18">
        <f>SUM(G34-K34)</f>
        <v>1666.98</v>
      </c>
      <c r="M34" s="24"/>
      <c r="N34" s="25">
        <v>1666.98</v>
      </c>
    </row>
    <row r="35" spans="1:14" x14ac:dyDescent="0.25">
      <c r="A35" s="38">
        <v>29</v>
      </c>
      <c r="B35" s="16" t="s">
        <v>18</v>
      </c>
      <c r="C35" s="14">
        <f>6816+1226.88</f>
        <v>8042.88</v>
      </c>
      <c r="D35" s="27">
        <v>1363.2</v>
      </c>
      <c r="E35" s="27"/>
      <c r="F35" s="27">
        <v>-4046.46</v>
      </c>
      <c r="G35" s="12">
        <f t="shared" si="0"/>
        <v>5359.62</v>
      </c>
      <c r="H35" s="3">
        <v>1460.55</v>
      </c>
      <c r="I35" s="3">
        <v>876.95</v>
      </c>
      <c r="J35" s="2">
        <f t="shared" si="9"/>
        <v>0</v>
      </c>
      <c r="K35" s="2">
        <f t="shared" si="1"/>
        <v>2337.5</v>
      </c>
      <c r="L35" s="18">
        <f t="shared" si="2"/>
        <v>3022.12</v>
      </c>
      <c r="M35" s="24"/>
      <c r="N35" s="25">
        <v>3022.12</v>
      </c>
    </row>
    <row r="36" spans="1:14" x14ac:dyDescent="0.25">
      <c r="A36" s="38">
        <v>30</v>
      </c>
      <c r="B36" s="16" t="s">
        <v>19</v>
      </c>
      <c r="C36" s="14">
        <f>15344.28+4971.55</f>
        <v>20315.830000000002</v>
      </c>
      <c r="D36" s="27">
        <v>3068.86</v>
      </c>
      <c r="E36" s="27"/>
      <c r="F36" s="27">
        <v>-10555.32</v>
      </c>
      <c r="G36" s="12">
        <f t="shared" si="0"/>
        <v>12829.370000000003</v>
      </c>
      <c r="H36" s="3">
        <v>5304.67</v>
      </c>
      <c r="I36" s="3">
        <v>876.95</v>
      </c>
      <c r="J36" s="2">
        <f t="shared" si="9"/>
        <v>0</v>
      </c>
      <c r="K36" s="2">
        <f t="shared" si="1"/>
        <v>6181.62</v>
      </c>
      <c r="L36" s="18">
        <f t="shared" si="2"/>
        <v>6647.7500000000027</v>
      </c>
      <c r="M36" s="24"/>
      <c r="N36" s="25">
        <v>6647.75</v>
      </c>
    </row>
    <row r="37" spans="1:14" x14ac:dyDescent="0.25">
      <c r="A37" s="38">
        <v>31</v>
      </c>
      <c r="B37" s="16" t="s">
        <v>65</v>
      </c>
      <c r="C37" s="14">
        <v>5788.51</v>
      </c>
      <c r="D37" s="27"/>
      <c r="E37" s="27"/>
      <c r="F37" s="27">
        <v>-2894.26</v>
      </c>
      <c r="G37" s="12">
        <f t="shared" si="0"/>
        <v>2894.25</v>
      </c>
      <c r="H37" s="3">
        <v>531.9</v>
      </c>
      <c r="I37" s="3">
        <v>636.29</v>
      </c>
      <c r="J37" s="2">
        <f t="shared" ref="J37" si="21">G37-H37-I37-N37</f>
        <v>0</v>
      </c>
      <c r="K37" s="2">
        <f t="shared" ref="K37" si="22">SUM(H37:J37)</f>
        <v>1168.19</v>
      </c>
      <c r="L37" s="18">
        <f t="shared" ref="L37" si="23">SUM(G37-K37)</f>
        <v>1726.06</v>
      </c>
      <c r="M37" s="24"/>
      <c r="N37" s="25">
        <v>1726.06</v>
      </c>
    </row>
    <row r="38" spans="1:14" x14ac:dyDescent="0.25">
      <c r="A38" s="38">
        <v>32</v>
      </c>
      <c r="B38" s="16" t="s">
        <v>55</v>
      </c>
      <c r="C38" s="14">
        <f>6615.54+1032.02</f>
        <v>7647.5599999999995</v>
      </c>
      <c r="D38" s="27">
        <v>1323.11</v>
      </c>
      <c r="E38" s="27"/>
      <c r="F38" s="27">
        <v>-3931.94</v>
      </c>
      <c r="G38" s="12">
        <f t="shared" si="0"/>
        <v>5038.7299999999996</v>
      </c>
      <c r="H38" s="3">
        <v>1340.81</v>
      </c>
      <c r="I38" s="3">
        <v>876.95</v>
      </c>
      <c r="J38" s="2">
        <f t="shared" si="9"/>
        <v>0</v>
      </c>
      <c r="K38" s="2">
        <f t="shared" si="1"/>
        <v>2217.7600000000002</v>
      </c>
      <c r="L38" s="18">
        <f t="shared" si="2"/>
        <v>2820.9699999999993</v>
      </c>
      <c r="M38" s="24"/>
      <c r="N38" s="25">
        <v>2820.97</v>
      </c>
    </row>
    <row r="39" spans="1:14" x14ac:dyDescent="0.25">
      <c r="A39" s="38">
        <v>33</v>
      </c>
      <c r="B39" s="16" t="s">
        <v>20</v>
      </c>
      <c r="C39" s="14">
        <f>6357.41+686.6</f>
        <v>7044.01</v>
      </c>
      <c r="D39" s="27">
        <v>1271.48</v>
      </c>
      <c r="E39" s="27">
        <v>811.11</v>
      </c>
      <c r="F39" s="27">
        <v>-3608.66</v>
      </c>
      <c r="G39" s="12">
        <f t="shared" ref="G39:G64" si="24">SUM(C39:F39)</f>
        <v>5517.9400000000005</v>
      </c>
      <c r="H39" s="3">
        <v>1279.42</v>
      </c>
      <c r="I39" s="3">
        <v>876.95</v>
      </c>
      <c r="J39" s="2">
        <f t="shared" si="9"/>
        <v>0</v>
      </c>
      <c r="K39" s="2">
        <f t="shared" si="1"/>
        <v>2156.37</v>
      </c>
      <c r="L39" s="18">
        <f>SUM(G39-K39)</f>
        <v>3361.5700000000006</v>
      </c>
      <c r="M39" s="24"/>
      <c r="N39" s="25">
        <v>3361.57</v>
      </c>
    </row>
    <row r="40" spans="1:14" x14ac:dyDescent="0.25">
      <c r="A40" s="38">
        <v>34</v>
      </c>
      <c r="B40" s="16" t="s">
        <v>52</v>
      </c>
      <c r="C40" s="14">
        <v>3052.34</v>
      </c>
      <c r="D40" s="27"/>
      <c r="E40" s="27"/>
      <c r="F40" s="27">
        <v>-1467.32</v>
      </c>
      <c r="G40" s="12">
        <f t="shared" si="24"/>
        <v>1585.0200000000002</v>
      </c>
      <c r="H40" s="3">
        <v>30.93</v>
      </c>
      <c r="I40" s="3">
        <v>269.33</v>
      </c>
      <c r="J40" s="2">
        <f t="shared" ref="J40" si="25">G40-H40-I40-N40</f>
        <v>0</v>
      </c>
      <c r="K40" s="2">
        <f t="shared" ref="K40" si="26">SUM(H40:J40)</f>
        <v>300.26</v>
      </c>
      <c r="L40" s="18">
        <f t="shared" ref="L40" si="27">SUM(G40-K40)</f>
        <v>1284.7600000000002</v>
      </c>
      <c r="M40" s="24"/>
      <c r="N40" s="25">
        <v>1284.76</v>
      </c>
    </row>
    <row r="41" spans="1:14" x14ac:dyDescent="0.25">
      <c r="A41" s="38">
        <v>35</v>
      </c>
      <c r="B41" s="16" t="s">
        <v>21</v>
      </c>
      <c r="C41" s="14">
        <f>3959.24+554.29</f>
        <v>4513.53</v>
      </c>
      <c r="D41" s="27"/>
      <c r="E41" s="27">
        <v>91.67</v>
      </c>
      <c r="F41" s="27">
        <v>-2190.4</v>
      </c>
      <c r="G41" s="12">
        <f t="shared" si="24"/>
        <v>2414.7999999999997</v>
      </c>
      <c r="H41" s="3">
        <v>265.64</v>
      </c>
      <c r="I41" s="3">
        <v>470.63</v>
      </c>
      <c r="J41" s="2">
        <f t="shared" si="9"/>
        <v>0</v>
      </c>
      <c r="K41" s="2">
        <f t="shared" si="1"/>
        <v>736.27</v>
      </c>
      <c r="L41" s="18">
        <f t="shared" si="2"/>
        <v>1678.5299999999997</v>
      </c>
      <c r="M41" s="24"/>
      <c r="N41" s="25">
        <v>1678.53</v>
      </c>
    </row>
    <row r="42" spans="1:14" x14ac:dyDescent="0.25">
      <c r="A42" s="38">
        <v>36</v>
      </c>
      <c r="B42" s="16" t="s">
        <v>22</v>
      </c>
      <c r="C42" s="14">
        <f>15652.7+5259.31</f>
        <v>20912.010000000002</v>
      </c>
      <c r="D42" s="27">
        <v>3130.54</v>
      </c>
      <c r="E42" s="27"/>
      <c r="F42" s="27">
        <v>-11552.2</v>
      </c>
      <c r="G42" s="12">
        <f t="shared" si="24"/>
        <v>12490.350000000002</v>
      </c>
      <c r="H42" s="3">
        <v>5381.31</v>
      </c>
      <c r="I42" s="3">
        <v>876.95</v>
      </c>
      <c r="J42" s="2">
        <f t="shared" si="9"/>
        <v>0</v>
      </c>
      <c r="K42" s="2">
        <f t="shared" si="1"/>
        <v>6258.26</v>
      </c>
      <c r="L42" s="18">
        <f t="shared" si="2"/>
        <v>6232.090000000002</v>
      </c>
      <c r="M42" s="24"/>
      <c r="N42" s="25">
        <v>6232.09</v>
      </c>
    </row>
    <row r="43" spans="1:14" x14ac:dyDescent="0.25">
      <c r="A43" s="38">
        <v>37</v>
      </c>
      <c r="B43" s="30" t="s">
        <v>23</v>
      </c>
      <c r="C43" s="31">
        <f>2890.63+404.69</f>
        <v>3295.32</v>
      </c>
      <c r="D43" s="28"/>
      <c r="E43" s="28"/>
      <c r="F43" s="27">
        <v>-1601.03</v>
      </c>
      <c r="G43" s="32">
        <f t="shared" si="24"/>
        <v>1694.2900000000002</v>
      </c>
      <c r="H43" s="33">
        <v>49.15</v>
      </c>
      <c r="I43" s="33">
        <v>298.49</v>
      </c>
      <c r="J43" s="34">
        <f t="shared" ref="J43:J64" si="28">G43-H43-I43-N43</f>
        <v>0</v>
      </c>
      <c r="K43" s="34">
        <f t="shared" si="1"/>
        <v>347.64</v>
      </c>
      <c r="L43" s="35">
        <f t="shared" si="2"/>
        <v>1346.65</v>
      </c>
      <c r="M43" s="24"/>
      <c r="N43" s="25">
        <v>1346.65</v>
      </c>
    </row>
    <row r="44" spans="1:14" x14ac:dyDescent="0.25">
      <c r="A44" s="38">
        <v>38</v>
      </c>
      <c r="B44" s="30" t="s">
        <v>66</v>
      </c>
      <c r="C44" s="31">
        <v>3396.84</v>
      </c>
      <c r="D44" s="28"/>
      <c r="E44" s="28"/>
      <c r="F44" s="27">
        <v>-1698.42</v>
      </c>
      <c r="G44" s="32">
        <f t="shared" si="24"/>
        <v>1698.42</v>
      </c>
      <c r="H44" s="33">
        <v>59.93</v>
      </c>
      <c r="I44" s="33">
        <v>310.67</v>
      </c>
      <c r="J44" s="34">
        <f t="shared" ref="J44" si="29">G44-H44-I44-N44</f>
        <v>0</v>
      </c>
      <c r="K44" s="34">
        <f t="shared" ref="K44" si="30">SUM(H44:J44)</f>
        <v>370.6</v>
      </c>
      <c r="L44" s="35">
        <f t="shared" ref="L44" si="31">SUM(G44-K44)</f>
        <v>1327.8200000000002</v>
      </c>
      <c r="M44" s="24"/>
      <c r="N44" s="25">
        <v>1327.82</v>
      </c>
    </row>
    <row r="45" spans="1:14" x14ac:dyDescent="0.25">
      <c r="A45" s="38">
        <v>39</v>
      </c>
      <c r="B45" s="16" t="s">
        <v>24</v>
      </c>
      <c r="C45" s="14">
        <f>4879.34+1171.04</f>
        <v>6050.38</v>
      </c>
      <c r="D45" s="27"/>
      <c r="E45" s="27">
        <v>782.79</v>
      </c>
      <c r="F45" s="27">
        <v>-3056.67</v>
      </c>
      <c r="G45" s="12">
        <f t="shared" si="24"/>
        <v>3776.5</v>
      </c>
      <c r="H45" s="3">
        <v>778.96</v>
      </c>
      <c r="I45" s="3">
        <v>782.55</v>
      </c>
      <c r="J45" s="2">
        <f t="shared" si="28"/>
        <v>0</v>
      </c>
      <c r="K45" s="2">
        <f t="shared" si="1"/>
        <v>1561.51</v>
      </c>
      <c r="L45" s="18">
        <f t="shared" si="2"/>
        <v>2214.9899999999998</v>
      </c>
      <c r="M45" s="24"/>
      <c r="N45" s="25">
        <v>2214.9899999999998</v>
      </c>
    </row>
    <row r="46" spans="1:14" x14ac:dyDescent="0.25">
      <c r="A46" s="38">
        <v>40</v>
      </c>
      <c r="B46" s="16" t="s">
        <v>25</v>
      </c>
      <c r="C46" s="14">
        <f>10354.2+1760.21</f>
        <v>12114.41</v>
      </c>
      <c r="D46" s="27"/>
      <c r="E46" s="27"/>
      <c r="F46" s="27">
        <v>-5828.83</v>
      </c>
      <c r="G46" s="12">
        <f t="shared" si="24"/>
        <v>6285.58</v>
      </c>
      <c r="H46" s="3">
        <v>2153.1999999999998</v>
      </c>
      <c r="I46" s="3">
        <v>876.95</v>
      </c>
      <c r="J46" s="2">
        <f t="shared" si="28"/>
        <v>0</v>
      </c>
      <c r="K46" s="2">
        <f t="shared" si="1"/>
        <v>3030.1499999999996</v>
      </c>
      <c r="L46" s="18">
        <f t="shared" si="2"/>
        <v>3255.4300000000003</v>
      </c>
      <c r="M46" s="24"/>
      <c r="N46" s="25">
        <v>3255.43</v>
      </c>
    </row>
    <row r="47" spans="1:14" x14ac:dyDescent="0.25">
      <c r="A47" s="38">
        <v>41</v>
      </c>
      <c r="B47" s="16" t="s">
        <v>26</v>
      </c>
      <c r="C47" s="14">
        <f>7223.9+3839.4</f>
        <v>11063.3</v>
      </c>
      <c r="D47" s="27">
        <v>6996.09</v>
      </c>
      <c r="E47" s="27"/>
      <c r="F47" s="27">
        <v>-8781</v>
      </c>
      <c r="G47" s="12">
        <f t="shared" si="24"/>
        <v>9278.39</v>
      </c>
      <c r="H47" s="3">
        <v>3840.21</v>
      </c>
      <c r="I47" s="3">
        <v>876.95</v>
      </c>
      <c r="J47" s="2">
        <f>G47-H47-I47-N47</f>
        <v>0</v>
      </c>
      <c r="K47" s="2">
        <f>SUM(H47:J47)</f>
        <v>4717.16</v>
      </c>
      <c r="L47" s="18">
        <f t="shared" si="2"/>
        <v>4561.2299999999996</v>
      </c>
      <c r="M47" s="24"/>
      <c r="N47" s="25">
        <v>4561.2299999999996</v>
      </c>
    </row>
    <row r="48" spans="1:14" x14ac:dyDescent="0.25">
      <c r="A48" s="38">
        <v>42</v>
      </c>
      <c r="B48" s="16" t="s">
        <v>27</v>
      </c>
      <c r="C48" s="14">
        <f>6681.7+1363.07</f>
        <v>8044.7699999999995</v>
      </c>
      <c r="D48" s="27">
        <v>1336.34</v>
      </c>
      <c r="E48" s="27"/>
      <c r="F48" s="27">
        <v>-4513.7</v>
      </c>
      <c r="G48" s="12">
        <f t="shared" si="24"/>
        <v>4867.4099999999989</v>
      </c>
      <c r="H48" s="3">
        <v>1349.41</v>
      </c>
      <c r="I48" s="3">
        <v>876.95</v>
      </c>
      <c r="J48" s="2">
        <f t="shared" si="28"/>
        <v>0</v>
      </c>
      <c r="K48" s="2">
        <f t="shared" si="1"/>
        <v>2226.36</v>
      </c>
      <c r="L48" s="18">
        <f t="shared" si="2"/>
        <v>2641.0499999999988</v>
      </c>
      <c r="M48" s="24"/>
      <c r="N48" s="25">
        <v>2641.05</v>
      </c>
    </row>
    <row r="49" spans="1:14" x14ac:dyDescent="0.25">
      <c r="A49" s="38">
        <v>43</v>
      </c>
      <c r="B49" s="16" t="s">
        <v>72</v>
      </c>
      <c r="C49" s="14">
        <v>2413.5</v>
      </c>
      <c r="D49" s="27"/>
      <c r="E49" s="27"/>
      <c r="F49" s="27">
        <v>-1206.75</v>
      </c>
      <c r="G49" s="12">
        <f t="shared" si="24"/>
        <v>1206.75</v>
      </c>
      <c r="H49" s="3"/>
      <c r="I49" s="3">
        <v>197.41</v>
      </c>
      <c r="J49" s="2">
        <f t="shared" ref="J49" si="32">G49-H49-I49-N49</f>
        <v>0</v>
      </c>
      <c r="K49" s="2">
        <f t="shared" ref="K49" si="33">SUM(H49:J49)</f>
        <v>197.41</v>
      </c>
      <c r="L49" s="18">
        <f t="shared" ref="L49" si="34">SUM(G49-K49)</f>
        <v>1009.34</v>
      </c>
      <c r="M49" s="24"/>
      <c r="N49" s="25">
        <v>1009.34</v>
      </c>
    </row>
    <row r="50" spans="1:14" x14ac:dyDescent="0.25">
      <c r="A50" s="38">
        <v>44</v>
      </c>
      <c r="B50" s="16" t="s">
        <v>28</v>
      </c>
      <c r="C50" s="14">
        <v>9607.94</v>
      </c>
      <c r="D50" s="27"/>
      <c r="E50" s="27">
        <v>8.68</v>
      </c>
      <c r="F50" s="27">
        <v>-4616.5200000000004</v>
      </c>
      <c r="G50" s="12">
        <f t="shared" si="24"/>
        <v>5000.1000000000004</v>
      </c>
      <c r="H50" s="3">
        <v>1466.31</v>
      </c>
      <c r="I50" s="3">
        <v>876.95</v>
      </c>
      <c r="J50" s="2">
        <f t="shared" si="28"/>
        <v>0</v>
      </c>
      <c r="K50" s="2">
        <f t="shared" si="1"/>
        <v>2343.2600000000002</v>
      </c>
      <c r="L50" s="18">
        <f>SUM(G50-K50)</f>
        <v>2656.84</v>
      </c>
      <c r="M50" s="24"/>
      <c r="N50" s="25">
        <v>2656.84</v>
      </c>
    </row>
    <row r="51" spans="1:14" x14ac:dyDescent="0.25">
      <c r="A51" s="38">
        <v>45</v>
      </c>
      <c r="B51" s="16" t="s">
        <v>29</v>
      </c>
      <c r="C51" s="14">
        <f>6748.52+1052.77</f>
        <v>7801.2900000000009</v>
      </c>
      <c r="D51" s="27">
        <v>1349.7</v>
      </c>
      <c r="E51" s="27"/>
      <c r="F51" s="27">
        <v>-3931.94</v>
      </c>
      <c r="G51" s="12">
        <f t="shared" si="24"/>
        <v>5219.0500000000011</v>
      </c>
      <c r="H51" s="3">
        <v>1390.4</v>
      </c>
      <c r="I51" s="3">
        <v>876.95</v>
      </c>
      <c r="J51" s="2">
        <f t="shared" si="28"/>
        <v>0</v>
      </c>
      <c r="K51" s="2">
        <f t="shared" si="1"/>
        <v>2267.3500000000004</v>
      </c>
      <c r="L51" s="18">
        <f>SUM(G51-K51)</f>
        <v>2951.7000000000007</v>
      </c>
      <c r="M51" s="24"/>
      <c r="N51" s="25">
        <v>2951.7</v>
      </c>
    </row>
    <row r="52" spans="1:14" x14ac:dyDescent="0.25">
      <c r="A52" s="38">
        <v>46</v>
      </c>
      <c r="B52" s="16" t="s">
        <v>30</v>
      </c>
      <c r="C52" s="14">
        <v>5813.37</v>
      </c>
      <c r="D52" s="27"/>
      <c r="E52" s="27"/>
      <c r="F52" s="27">
        <v>-2906.69</v>
      </c>
      <c r="G52" s="12">
        <f t="shared" si="24"/>
        <v>2906.68</v>
      </c>
      <c r="H52" s="3">
        <v>485.64</v>
      </c>
      <c r="I52" s="3">
        <v>639.78</v>
      </c>
      <c r="J52" s="2">
        <f t="shared" si="28"/>
        <v>0</v>
      </c>
      <c r="K52" s="2">
        <f t="shared" si="1"/>
        <v>1125.42</v>
      </c>
      <c r="L52" s="18">
        <f t="shared" si="2"/>
        <v>1781.2599999999998</v>
      </c>
      <c r="M52" s="24"/>
      <c r="N52" s="25">
        <v>1781.26</v>
      </c>
    </row>
    <row r="53" spans="1:14" x14ac:dyDescent="0.25">
      <c r="A53" s="38">
        <v>47</v>
      </c>
      <c r="B53" s="16" t="s">
        <v>31</v>
      </c>
      <c r="C53" s="14">
        <f>6681.7+1403.16</f>
        <v>8084.86</v>
      </c>
      <c r="D53" s="27">
        <v>2672.68</v>
      </c>
      <c r="E53" s="27"/>
      <c r="F53" s="27">
        <v>-5175.1899999999996</v>
      </c>
      <c r="G53" s="12">
        <f t="shared" si="24"/>
        <v>5582.3499999999995</v>
      </c>
      <c r="H53" s="3">
        <v>1780.07</v>
      </c>
      <c r="I53" s="3">
        <v>876.95</v>
      </c>
      <c r="J53" s="2">
        <f t="shared" si="28"/>
        <v>0</v>
      </c>
      <c r="K53" s="2">
        <f t="shared" si="1"/>
        <v>2657.02</v>
      </c>
      <c r="L53" s="18">
        <f t="shared" si="2"/>
        <v>2925.3299999999995</v>
      </c>
      <c r="M53" s="24"/>
      <c r="N53" s="25">
        <v>2925.33</v>
      </c>
    </row>
    <row r="54" spans="1:14" x14ac:dyDescent="0.25">
      <c r="A54" s="38">
        <v>48</v>
      </c>
      <c r="B54" s="16" t="s">
        <v>32</v>
      </c>
      <c r="C54" s="14">
        <f>6952.69+933.37</f>
        <v>7886.0599999999995</v>
      </c>
      <c r="D54" s="27">
        <v>1532.5</v>
      </c>
      <c r="E54" s="27"/>
      <c r="F54" s="27">
        <v>-3674.77</v>
      </c>
      <c r="G54" s="12">
        <f t="shared" si="24"/>
        <v>5743.7899999999991</v>
      </c>
      <c r="H54" s="3">
        <v>1411.85</v>
      </c>
      <c r="I54" s="3">
        <v>876.95</v>
      </c>
      <c r="J54" s="2">
        <f t="shared" si="28"/>
        <v>0</v>
      </c>
      <c r="K54" s="2">
        <f t="shared" si="1"/>
        <v>2288.8000000000002</v>
      </c>
      <c r="L54" s="18">
        <f t="shared" si="2"/>
        <v>3454.9899999999989</v>
      </c>
      <c r="M54" s="24"/>
      <c r="N54" s="25">
        <v>3454.99</v>
      </c>
    </row>
    <row r="55" spans="1:14" x14ac:dyDescent="0.25">
      <c r="A55" s="38">
        <v>49</v>
      </c>
      <c r="B55" s="16" t="s">
        <v>51</v>
      </c>
      <c r="C55" s="14">
        <v>3052.34</v>
      </c>
      <c r="D55" s="27"/>
      <c r="E55" s="27"/>
      <c r="F55" s="27">
        <v>-1467.32</v>
      </c>
      <c r="G55" s="12">
        <f t="shared" si="24"/>
        <v>1585.0200000000002</v>
      </c>
      <c r="H55" s="3">
        <v>30.93</v>
      </c>
      <c r="I55" s="3">
        <v>269.33</v>
      </c>
      <c r="J55" s="2">
        <f t="shared" ref="J55" si="35">G55-H55-I55-N55</f>
        <v>0</v>
      </c>
      <c r="K55" s="2">
        <f t="shared" ref="K55" si="36">SUM(H55:J55)</f>
        <v>300.26</v>
      </c>
      <c r="L55" s="18">
        <f t="shared" ref="L55" si="37">SUM(G55-K55)</f>
        <v>1284.7600000000002</v>
      </c>
      <c r="M55" s="24"/>
      <c r="N55" s="25">
        <v>1284.76</v>
      </c>
    </row>
    <row r="56" spans="1:14" x14ac:dyDescent="0.25">
      <c r="A56" s="38">
        <v>50</v>
      </c>
      <c r="B56" s="16" t="s">
        <v>33</v>
      </c>
      <c r="C56" s="14">
        <f>15497.73+5765.16</f>
        <v>21262.89</v>
      </c>
      <c r="D56" s="27">
        <v>3099.55</v>
      </c>
      <c r="E56" s="27">
        <v>83.34</v>
      </c>
      <c r="F56" s="27">
        <v>-10890.41</v>
      </c>
      <c r="G56" s="12">
        <f t="shared" si="24"/>
        <v>13555.369999999999</v>
      </c>
      <c r="H56" s="3">
        <v>5596.47</v>
      </c>
      <c r="I56" s="3">
        <v>876.95</v>
      </c>
      <c r="J56" s="2">
        <f t="shared" si="28"/>
        <v>0</v>
      </c>
      <c r="K56" s="2">
        <f t="shared" si="1"/>
        <v>6473.42</v>
      </c>
      <c r="L56" s="18">
        <f>SUM(G56-K56)</f>
        <v>7081.9499999999989</v>
      </c>
      <c r="M56" s="24"/>
      <c r="N56" s="25">
        <v>7081.95</v>
      </c>
    </row>
    <row r="57" spans="1:14" x14ac:dyDescent="0.25">
      <c r="A57" s="38">
        <v>51</v>
      </c>
      <c r="B57" s="16" t="s">
        <v>34</v>
      </c>
      <c r="C57" s="14">
        <v>3415.86</v>
      </c>
      <c r="D57" s="27"/>
      <c r="E57" s="27"/>
      <c r="F57" s="27">
        <v>-1659.97</v>
      </c>
      <c r="G57" s="12">
        <f t="shared" si="24"/>
        <v>1755.89</v>
      </c>
      <c r="H57" s="3">
        <v>62.78</v>
      </c>
      <c r="I57" s="3">
        <v>312.95</v>
      </c>
      <c r="J57" s="2">
        <f t="shared" si="28"/>
        <v>0</v>
      </c>
      <c r="K57" s="2">
        <f t="shared" si="1"/>
        <v>375.73</v>
      </c>
      <c r="L57" s="18">
        <f t="shared" si="2"/>
        <v>1380.16</v>
      </c>
      <c r="M57" s="24"/>
      <c r="N57" s="25">
        <v>1380.16</v>
      </c>
    </row>
    <row r="58" spans="1:14" x14ac:dyDescent="0.25">
      <c r="A58" s="38">
        <v>52</v>
      </c>
      <c r="B58" s="16" t="s">
        <v>60</v>
      </c>
      <c r="C58" s="14">
        <f>3817.92+76.36</f>
        <v>3894.28</v>
      </c>
      <c r="D58" s="27"/>
      <c r="E58" s="27">
        <v>395.56</v>
      </c>
      <c r="F58" s="27">
        <v>-1615.46</v>
      </c>
      <c r="G58" s="12">
        <f t="shared" si="24"/>
        <v>2674.38</v>
      </c>
      <c r="H58" s="3">
        <v>194.68</v>
      </c>
      <c r="I58" s="3">
        <v>426.48</v>
      </c>
      <c r="J58" s="2">
        <f t="shared" ref="J58" si="38">G58-H58-I58-N58</f>
        <v>0</v>
      </c>
      <c r="K58" s="2">
        <f t="shared" ref="K58" si="39">SUM(H58:J58)</f>
        <v>621.16000000000008</v>
      </c>
      <c r="L58" s="18">
        <f t="shared" ref="L58" si="40">SUM(G58-K58)</f>
        <v>2053.2200000000003</v>
      </c>
      <c r="M58" s="24"/>
      <c r="N58" s="25">
        <v>2053.2199999999998</v>
      </c>
    </row>
    <row r="59" spans="1:14" x14ac:dyDescent="0.25">
      <c r="A59" s="38">
        <v>53</v>
      </c>
      <c r="B59" s="16" t="s">
        <v>67</v>
      </c>
      <c r="C59" s="14">
        <v>3396.84</v>
      </c>
      <c r="D59" s="27"/>
      <c r="E59" s="27"/>
      <c r="F59" s="27">
        <v>-1698.42</v>
      </c>
      <c r="G59" s="12">
        <f t="shared" si="24"/>
        <v>1698.42</v>
      </c>
      <c r="H59" s="3">
        <v>59.93</v>
      </c>
      <c r="I59" s="3">
        <v>310.67</v>
      </c>
      <c r="J59" s="2">
        <f t="shared" ref="J59" si="41">G59-H59-I59-N59</f>
        <v>0</v>
      </c>
      <c r="K59" s="2">
        <f t="shared" ref="K59" si="42">SUM(H59:J59)</f>
        <v>370.6</v>
      </c>
      <c r="L59" s="18">
        <f t="shared" ref="L59" si="43">SUM(G59-K59)</f>
        <v>1327.8200000000002</v>
      </c>
      <c r="M59" s="24"/>
      <c r="N59" s="25">
        <v>1327.82</v>
      </c>
    </row>
    <row r="60" spans="1:14" x14ac:dyDescent="0.25">
      <c r="A60" s="38">
        <v>54</v>
      </c>
      <c r="B60" s="16" t="s">
        <v>35</v>
      </c>
      <c r="C60" s="14">
        <f>13678.1+6510.78</f>
        <v>20188.88</v>
      </c>
      <c r="D60" s="27">
        <v>5471.24</v>
      </c>
      <c r="E60" s="27"/>
      <c r="F60" s="27">
        <v>-11359.54</v>
      </c>
      <c r="G60" s="12">
        <f t="shared" si="24"/>
        <v>14300.580000000002</v>
      </c>
      <c r="H60" s="3">
        <v>5878.27</v>
      </c>
      <c r="I60" s="3">
        <v>876.95</v>
      </c>
      <c r="J60" s="2">
        <f t="shared" si="28"/>
        <v>0</v>
      </c>
      <c r="K60" s="2">
        <f t="shared" si="1"/>
        <v>6755.22</v>
      </c>
      <c r="L60" s="18">
        <f>SUM(G60-K60)</f>
        <v>7545.3600000000015</v>
      </c>
      <c r="M60" s="24"/>
      <c r="N60" s="25">
        <v>7545.36</v>
      </c>
    </row>
    <row r="61" spans="1:14" x14ac:dyDescent="0.25">
      <c r="A61" s="38">
        <v>55</v>
      </c>
      <c r="B61" s="16" t="s">
        <v>36</v>
      </c>
      <c r="C61" s="14">
        <f>5443.73+1687.56</f>
        <v>7131.2899999999991</v>
      </c>
      <c r="D61" s="27"/>
      <c r="E61" s="27"/>
      <c r="F61" s="27">
        <v>-3045.42</v>
      </c>
      <c r="G61" s="12">
        <f t="shared" si="24"/>
        <v>4085.869999999999</v>
      </c>
      <c r="H61" s="3">
        <v>797.33</v>
      </c>
      <c r="I61" s="3">
        <v>824.28</v>
      </c>
      <c r="J61" s="2">
        <f t="shared" si="28"/>
        <v>0</v>
      </c>
      <c r="K61" s="2">
        <f t="shared" si="1"/>
        <v>1621.6100000000001</v>
      </c>
      <c r="L61" s="18">
        <f t="shared" si="2"/>
        <v>2464.2599999999989</v>
      </c>
      <c r="M61" s="24"/>
      <c r="N61" s="25">
        <v>2464.2600000000002</v>
      </c>
    </row>
    <row r="62" spans="1:14" x14ac:dyDescent="0.25">
      <c r="A62" s="38">
        <v>56</v>
      </c>
      <c r="B62" s="16" t="s">
        <v>56</v>
      </c>
      <c r="C62" s="14">
        <f>5530.71+221.23</f>
        <v>5751.94</v>
      </c>
      <c r="D62" s="27"/>
      <c r="E62" s="27">
        <v>33.39</v>
      </c>
      <c r="F62" s="27">
        <v>-2764.55</v>
      </c>
      <c r="G62" s="12">
        <f t="shared" si="24"/>
        <v>3020.7799999999997</v>
      </c>
      <c r="H62" s="3">
        <v>531.15</v>
      </c>
      <c r="I62" s="3">
        <v>635.85</v>
      </c>
      <c r="J62" s="2">
        <f t="shared" ref="J62" si="44">G62-H62-I62-N62</f>
        <v>0</v>
      </c>
      <c r="K62" s="2">
        <f t="shared" ref="K62" si="45">SUM(H62:J62)</f>
        <v>1167</v>
      </c>
      <c r="L62" s="18">
        <f t="shared" ref="L62" si="46">SUM(G62-K62)</f>
        <v>1853.7799999999997</v>
      </c>
      <c r="M62" s="24"/>
      <c r="N62" s="25">
        <v>1853.78</v>
      </c>
    </row>
    <row r="63" spans="1:14" x14ac:dyDescent="0.25">
      <c r="A63" s="38">
        <v>57</v>
      </c>
      <c r="B63" s="42" t="s">
        <v>68</v>
      </c>
      <c r="C63" s="43">
        <v>3396.84</v>
      </c>
      <c r="D63" s="44"/>
      <c r="E63" s="44"/>
      <c r="F63" s="27">
        <v>-1698.42</v>
      </c>
      <c r="G63" s="12">
        <f t="shared" si="24"/>
        <v>1698.42</v>
      </c>
      <c r="H63" s="45">
        <v>59.93</v>
      </c>
      <c r="I63" s="45">
        <v>310.67</v>
      </c>
      <c r="J63" s="2">
        <f t="shared" ref="J63" si="47">G63-H63-I63-N63</f>
        <v>0</v>
      </c>
      <c r="K63" s="2">
        <f t="shared" ref="K63" si="48">SUM(H63:J63)</f>
        <v>370.6</v>
      </c>
      <c r="L63" s="18">
        <f t="shared" ref="L63" si="49">SUM(G63-K63)</f>
        <v>1327.8200000000002</v>
      </c>
      <c r="M63" s="24"/>
      <c r="N63" s="25">
        <v>1327.82</v>
      </c>
    </row>
    <row r="64" spans="1:14" ht="15.75" thickBot="1" x14ac:dyDescent="0.3">
      <c r="A64" s="38">
        <v>58</v>
      </c>
      <c r="B64" s="17" t="s">
        <v>37</v>
      </c>
      <c r="C64" s="15">
        <f>10562.32+2218.09</f>
        <v>12780.41</v>
      </c>
      <c r="D64" s="29">
        <v>4224.93</v>
      </c>
      <c r="E64" s="29"/>
      <c r="F64" s="29">
        <v>-8099.85</v>
      </c>
      <c r="G64" s="13">
        <f t="shared" si="24"/>
        <v>8905.49</v>
      </c>
      <c r="H64" s="10">
        <v>3498.21</v>
      </c>
      <c r="I64" s="10">
        <v>876.95</v>
      </c>
      <c r="J64" s="11">
        <f t="shared" si="28"/>
        <v>0</v>
      </c>
      <c r="K64" s="11">
        <f t="shared" si="1"/>
        <v>4375.16</v>
      </c>
      <c r="L64" s="19">
        <f t="shared" si="2"/>
        <v>4530.33</v>
      </c>
      <c r="M64" s="24"/>
      <c r="N64" s="25">
        <v>4530.33</v>
      </c>
    </row>
    <row r="65" spans="2:14" x14ac:dyDescent="0.25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</row>
    <row r="66" spans="2:14" x14ac:dyDescent="0.2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spans="2:14" x14ac:dyDescent="0.25">
      <c r="B67" s="6"/>
      <c r="C67" s="5"/>
      <c r="D67" s="5"/>
      <c r="E67" s="5"/>
      <c r="F67" s="5"/>
      <c r="G67" s="39"/>
      <c r="H67" s="5"/>
      <c r="I67" s="5"/>
      <c r="J67" s="5"/>
      <c r="K67" s="39"/>
      <c r="L67" s="39"/>
      <c r="N67" s="57"/>
    </row>
    <row r="68" spans="2:14" x14ac:dyDescent="0.25">
      <c r="B68" s="4"/>
      <c r="C68" s="4"/>
      <c r="D68" s="4"/>
      <c r="E68" s="4"/>
      <c r="F68" s="4"/>
      <c r="G68" s="41"/>
      <c r="H68" s="41"/>
      <c r="I68" s="41"/>
      <c r="J68" s="41"/>
      <c r="K68" s="41"/>
      <c r="L68" s="41"/>
    </row>
    <row r="69" spans="2:14" x14ac:dyDescent="0.25">
      <c r="G69" s="1"/>
      <c r="K69" s="1"/>
      <c r="L69" s="1"/>
    </row>
    <row r="71" spans="2:14" x14ac:dyDescent="0.25">
      <c r="G71" s="1"/>
      <c r="K71" s="1"/>
    </row>
    <row r="72" spans="2:14" x14ac:dyDescent="0.25">
      <c r="G72" s="1"/>
      <c r="H72" s="1"/>
      <c r="I72" s="1"/>
      <c r="J72" s="1"/>
      <c r="L72" s="1"/>
    </row>
  </sheetData>
  <mergeCells count="10">
    <mergeCell ref="B65:L65"/>
    <mergeCell ref="B1:L1"/>
    <mergeCell ref="B2:L2"/>
    <mergeCell ref="B3:L3"/>
    <mergeCell ref="B5:B6"/>
    <mergeCell ref="C5:C6"/>
    <mergeCell ref="H5:H6"/>
    <mergeCell ref="I5:I6"/>
    <mergeCell ref="E5:E6"/>
    <mergeCell ref="D5:D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2023-12-21T14:27:33Z</cp:lastPrinted>
  <dcterms:created xsi:type="dcterms:W3CDTF">2016-04-28T12:49:34Z</dcterms:created>
  <dcterms:modified xsi:type="dcterms:W3CDTF">2023-12-21T17:27:01Z</dcterms:modified>
</cp:coreProperties>
</file>