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11 - NOVEMBRO\"/>
    </mc:Choice>
  </mc:AlternateContent>
  <xr:revisionPtr revIDLastSave="0" documentId="8_{DBDDB505-8E09-46AA-A321-1B8571494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6" l="1"/>
  <c r="M55" i="6"/>
  <c r="F55" i="6"/>
  <c r="C55" i="6"/>
  <c r="M54" i="6"/>
  <c r="L54" i="6"/>
  <c r="F54" i="6"/>
  <c r="C54" i="6"/>
  <c r="L53" i="6"/>
  <c r="F53" i="6"/>
  <c r="C53" i="6"/>
  <c r="C51" i="6"/>
  <c r="C48" i="6"/>
  <c r="C47" i="6"/>
  <c r="C46" i="6"/>
  <c r="C43" i="6"/>
  <c r="C41" i="6"/>
  <c r="C39" i="6"/>
  <c r="C37" i="6"/>
  <c r="C36" i="6"/>
  <c r="C30" i="6"/>
  <c r="C29" i="6"/>
  <c r="M24" i="6"/>
  <c r="F24" i="6"/>
  <c r="C24" i="6"/>
  <c r="C19" i="6"/>
  <c r="M18" i="6"/>
  <c r="F18" i="6"/>
  <c r="C18" i="6"/>
  <c r="M17" i="6"/>
  <c r="F17" i="6"/>
  <c r="C17" i="6"/>
  <c r="C16" i="6"/>
  <c r="D14" i="6"/>
  <c r="C14" i="6"/>
  <c r="C11" i="6"/>
  <c r="M9" i="6"/>
  <c r="F9" i="6"/>
  <c r="C9" i="6"/>
  <c r="C7" i="6"/>
  <c r="C45" i="6"/>
  <c r="C34" i="6"/>
  <c r="C28" i="6"/>
  <c r="C27" i="6"/>
  <c r="C10" i="6"/>
  <c r="C52" i="6"/>
  <c r="C49" i="6"/>
  <c r="M45" i="6"/>
  <c r="C44" i="6"/>
  <c r="C40" i="6"/>
  <c r="M34" i="6"/>
  <c r="M28" i="6"/>
  <c r="C33" i="6"/>
  <c r="C32" i="6"/>
  <c r="M26" i="6"/>
  <c r="M47" i="6" l="1"/>
  <c r="M44" i="6"/>
  <c r="C42" i="6"/>
  <c r="C21" i="6"/>
  <c r="K52" i="6"/>
  <c r="C50" i="6"/>
  <c r="M42" i="6"/>
  <c r="M41" i="6"/>
  <c r="C38" i="6"/>
  <c r="C35" i="6"/>
  <c r="M32" i="6"/>
  <c r="C31" i="6"/>
  <c r="C25" i="6"/>
  <c r="C22" i="6"/>
  <c r="C15" i="6"/>
  <c r="C13" i="6"/>
  <c r="K56" i="6" l="1"/>
  <c r="K41" i="6"/>
  <c r="N52" i="6"/>
  <c r="O52" i="6" s="1"/>
  <c r="P52" i="6" s="1"/>
  <c r="K13" i="6"/>
  <c r="K10" i="6"/>
  <c r="N10" i="6" s="1"/>
  <c r="O10" i="6" s="1"/>
  <c r="P10" i="6" s="1"/>
  <c r="N13" i="6" l="1"/>
  <c r="O13" i="6" s="1"/>
  <c r="P13" i="6" s="1"/>
  <c r="K50" i="6" l="1"/>
  <c r="K43" i="6"/>
  <c r="K42" i="6"/>
  <c r="K40" i="6"/>
  <c r="K33" i="6"/>
  <c r="K44" i="6"/>
  <c r="K46" i="6"/>
  <c r="K47" i="6"/>
  <c r="K48" i="6"/>
  <c r="K49" i="6"/>
  <c r="K51" i="6"/>
  <c r="K53" i="6"/>
  <c r="K54" i="6"/>
  <c r="K55" i="6"/>
  <c r="K39" i="6"/>
  <c r="K38" i="6"/>
  <c r="K29" i="6"/>
  <c r="K30" i="6"/>
  <c r="K31" i="6"/>
  <c r="K32" i="6"/>
  <c r="K34" i="6"/>
  <c r="K35" i="6"/>
  <c r="K36" i="6"/>
  <c r="K37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7" i="6"/>
  <c r="K45" i="6" l="1"/>
  <c r="K14" i="6"/>
  <c r="N55" i="6" l="1"/>
  <c r="O55" i="6" s="1"/>
  <c r="P55" i="6" s="1"/>
  <c r="N18" i="6" l="1"/>
  <c r="O18" i="6" s="1"/>
  <c r="P18" i="6" s="1"/>
  <c r="N30" i="6" l="1"/>
  <c r="O30" i="6" s="1"/>
  <c r="P30" i="6" s="1"/>
  <c r="N9" i="6" l="1"/>
  <c r="O9" i="6" s="1"/>
  <c r="P9" i="6" s="1"/>
  <c r="N36" i="6" l="1"/>
  <c r="O36" i="6" s="1"/>
  <c r="P36" i="6" s="1"/>
  <c r="N49" i="6" l="1"/>
  <c r="O49" i="6" s="1"/>
  <c r="P49" i="6" s="1"/>
  <c r="N24" i="6"/>
  <c r="O24" i="6" s="1"/>
  <c r="P24" i="6" s="1"/>
  <c r="N15" i="6" l="1"/>
  <c r="O15" i="6" s="1"/>
  <c r="P15" i="6" s="1"/>
  <c r="N12" i="6" l="1"/>
  <c r="O12" i="6" s="1"/>
  <c r="P12" i="6" s="1"/>
  <c r="N56" i="6"/>
  <c r="O56" i="6" s="1"/>
  <c r="P56" i="6" s="1"/>
  <c r="N51" i="6"/>
  <c r="O51" i="6" s="1"/>
  <c r="N48" i="6"/>
  <c r="O48" i="6" s="1"/>
  <c r="P48" i="6" s="1"/>
  <c r="N47" i="6"/>
  <c r="O47" i="6" s="1"/>
  <c r="P47" i="6" s="1"/>
  <c r="N46" i="6"/>
  <c r="O46" i="6" s="1"/>
  <c r="N43" i="6"/>
  <c r="O43" i="6" s="1"/>
  <c r="N42" i="6"/>
  <c r="O42" i="6" s="1"/>
  <c r="N41" i="6"/>
  <c r="O41" i="6" s="1"/>
  <c r="P41" i="6" s="1"/>
  <c r="N38" i="6"/>
  <c r="O38" i="6" s="1"/>
  <c r="P38" i="6" s="1"/>
  <c r="N34" i="6"/>
  <c r="O34" i="6" s="1"/>
  <c r="P34" i="6" s="1"/>
  <c r="N33" i="6"/>
  <c r="O33" i="6" s="1"/>
  <c r="P33" i="6" s="1"/>
  <c r="N32" i="6"/>
  <c r="O32" i="6" s="1"/>
  <c r="P32" i="6" s="1"/>
  <c r="N29" i="6"/>
  <c r="O29" i="6" s="1"/>
  <c r="P29" i="6" s="1"/>
  <c r="N28" i="6"/>
  <c r="O28" i="6" s="1"/>
  <c r="P28" i="6" s="1"/>
  <c r="N27" i="6"/>
  <c r="O27" i="6" s="1"/>
  <c r="P27" i="6" s="1"/>
  <c r="N25" i="6"/>
  <c r="O25" i="6" s="1"/>
  <c r="P25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0" i="6" l="1"/>
  <c r="O40" i="6" s="1"/>
  <c r="P40" i="6" s="1"/>
  <c r="N8" i="6"/>
  <c r="N54" i="6"/>
  <c r="O54" i="6" s="1"/>
  <c r="P54" i="6" s="1"/>
  <c r="N16" i="6"/>
  <c r="O16" i="6" s="1"/>
  <c r="P16" i="6" s="1"/>
  <c r="N50" i="6"/>
  <c r="O50" i="6" s="1"/>
  <c r="P50" i="6" s="1"/>
  <c r="N44" i="6"/>
  <c r="N45" i="6"/>
  <c r="O45" i="6" s="1"/>
  <c r="P45" i="6" s="1"/>
  <c r="N53" i="6"/>
  <c r="O53" i="6" s="1"/>
  <c r="P53" i="6" s="1"/>
  <c r="N11" i="6"/>
  <c r="O11" i="6" s="1"/>
  <c r="P11" i="6" s="1"/>
  <c r="N31" i="6"/>
  <c r="O31" i="6" s="1"/>
  <c r="P31" i="6" s="1"/>
  <c r="N26" i="6"/>
  <c r="O26" i="6" s="1"/>
  <c r="P26" i="6" s="1"/>
  <c r="N35" i="6"/>
  <c r="O35" i="6" s="1"/>
  <c r="P35" i="6" s="1"/>
  <c r="N39" i="6"/>
  <c r="O39" i="6" s="1"/>
  <c r="P39" i="6" s="1"/>
  <c r="N20" i="6"/>
  <c r="O20" i="6" s="1"/>
  <c r="P20" i="6" s="1"/>
  <c r="N17" i="6"/>
  <c r="O17" i="6" s="1"/>
  <c r="P17" i="6" s="1"/>
  <c r="N14" i="6"/>
  <c r="O14" i="6" s="1"/>
  <c r="P14" i="6" s="1"/>
  <c r="P43" i="6"/>
  <c r="P42" i="6"/>
  <c r="P46" i="6"/>
  <c r="N37" i="6"/>
  <c r="O37" i="6" s="1"/>
  <c r="P37" i="6" s="1"/>
  <c r="P51" i="6"/>
  <c r="O44" i="6" l="1"/>
  <c r="O8" i="6"/>
  <c r="P44" i="6" l="1"/>
  <c r="P8" i="6"/>
</calcChain>
</file>

<file path=xl/sharedStrings.xml><?xml version="1.0" encoding="utf-8"?>
<sst xmlns="http://schemas.openxmlformats.org/spreadsheetml/2006/main" count="83" uniqueCount="81">
  <si>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</si>
  <si>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</si>
  <si>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</si>
  <si>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</si>
  <si>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</si>
  <si>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</si>
  <si>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</si>
  <si>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</si>
  <si>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</si>
  <si>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</si>
  <si>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</si>
  <si>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</si>
  <si>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</si>
  <si>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</si>
  <si>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</si>
  <si>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</si>
  <si>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</si>
  <si>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</si>
  <si>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</si>
  <si>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</si>
  <si>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</si>
  <si>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</si>
  <si>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</si>
  <si>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</si>
  <si>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</si>
  <si>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</si>
  <si>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</si>
  <si>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</si>
  <si>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</si>
  <si>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</si>
  <si>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</si>
  <si>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</si>
  <si>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</si>
  <si>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</si>
  <si>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</si>
  <si>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</si>
  <si>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</si>
  <si>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</si>
  <si>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</si>
  <si>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</si>
  <si>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</si>
  <si>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</si>
  <si>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</si>
  <si>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</si>
  <si>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</si>
  <si>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</si>
  <si>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</si>
  <si>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</si>
  <si>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</si>
  <si>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</si>
  <si>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</si>
  <si>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</si>
  <si>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</si>
  <si>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</si>
  <si>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</si>
  <si>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</si>
  <si>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</si>
  <si>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</si>
  <si>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</si>
  <si>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</si>
  <si>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</si>
  <si>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</si>
  <si>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</si>
  <si>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</si>
  <si>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</si>
  <si>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</si>
  <si>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</si>
  <si>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</si>
  <si>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</si>
  <si>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</si>
  <si>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</si>
  <si>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</si>
  <si>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</si>
  <si>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</si>
  <si>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</si>
  <si>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</si>
  <si>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</si>
  <si>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</si>
  <si>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</si>
  <si>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</si>
  <si>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NOVEMBRO/2022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</si>
</sst>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T70" sqref="T70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6" t="s">
        <v>49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9" ht="16.5" x14ac:dyDescent="0.25">
      <c r="B2" s="56" t="s">
        <v>50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4.5" customHeight="1" thickBot="1" x14ac:dyDescent="0.3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9" ht="19.5" thickBot="1" x14ac:dyDescent="0.35">
      <c r="B4" s="47" t="s">
        <v>80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8" t="s">
        <v>48</v>
      </c>
      <c r="C5" s="60" t="s">
        <v>38</v>
      </c>
      <c r="D5" s="64" t="s">
        <v>62</v>
      </c>
      <c r="E5" s="60" t="s">
        <v>39</v>
      </c>
      <c r="F5" s="60" t="s">
        <v>63</v>
      </c>
      <c r="G5" s="40" t="s">
        <v>64</v>
      </c>
      <c r="H5" s="41" t="s">
        <v>66</v>
      </c>
      <c r="I5" s="20" t="s">
        <v>51</v>
      </c>
      <c r="J5" s="8" t="s">
        <v>71</v>
      </c>
      <c r="K5" s="20" t="s">
        <v>40</v>
      </c>
      <c r="L5" s="62" t="s">
        <v>42</v>
      </c>
      <c r="M5" s="60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59"/>
      <c r="C6" s="61"/>
      <c r="D6" s="65"/>
      <c r="E6" s="61"/>
      <c r="F6" s="61"/>
      <c r="G6" s="42" t="s">
        <v>65</v>
      </c>
      <c r="H6" s="43" t="s">
        <v>53</v>
      </c>
      <c r="I6" s="21" t="s">
        <v>52</v>
      </c>
      <c r="J6" s="9" t="s">
        <v>72</v>
      </c>
      <c r="K6" s="21" t="s">
        <v>41</v>
      </c>
      <c r="L6" s="63"/>
      <c r="M6" s="61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5947.23+710.73</f>
        <v>6657.9599999999991</v>
      </c>
      <c r="D7" s="27">
        <v>2936.92</v>
      </c>
      <c r="E7" s="27"/>
      <c r="F7" s="27"/>
      <c r="G7" s="27"/>
      <c r="H7" s="27"/>
      <c r="I7" s="30"/>
      <c r="J7" s="30"/>
      <c r="K7" s="12">
        <f t="shared" ref="K7:K14" si="0">SUM(C7:I7)</f>
        <v>9594.8799999999992</v>
      </c>
      <c r="L7" s="3">
        <v>1541.43</v>
      </c>
      <c r="M7" s="3">
        <v>828.38</v>
      </c>
      <c r="N7" s="2">
        <f t="shared" ref="N7:N13" si="1">K7-L7-M7-R7</f>
        <v>42.049999999998363</v>
      </c>
      <c r="O7" s="2">
        <f t="shared" ref="O7:O56" si="2">SUM(L7:N7)</f>
        <v>2411.8599999999983</v>
      </c>
      <c r="P7" s="18">
        <f t="shared" ref="P7:P56" si="3">SUM(K7-O7)</f>
        <v>7183.02</v>
      </c>
      <c r="Q7" s="24"/>
      <c r="R7" s="25">
        <v>7183.02</v>
      </c>
    </row>
    <row r="8" spans="1:19" x14ac:dyDescent="0.25">
      <c r="A8" s="45">
        <v>2</v>
      </c>
      <c r="B8" s="16" t="s">
        <v>1</v>
      </c>
      <c r="C8" s="14">
        <v>3053.24</v>
      </c>
      <c r="D8" s="27"/>
      <c r="E8" s="27"/>
      <c r="F8" s="27"/>
      <c r="G8" s="27"/>
      <c r="H8" s="27"/>
      <c r="I8" s="30"/>
      <c r="J8" s="30"/>
      <c r="K8" s="12">
        <f t="shared" si="0"/>
        <v>3053.24</v>
      </c>
      <c r="L8" s="3">
        <v>51.32</v>
      </c>
      <c r="M8" s="3">
        <v>275.38</v>
      </c>
      <c r="N8" s="2">
        <f t="shared" si="1"/>
        <v>1442.1999999999996</v>
      </c>
      <c r="O8" s="2">
        <f t="shared" si="2"/>
        <v>1768.8999999999996</v>
      </c>
      <c r="P8" s="18">
        <f t="shared" si="3"/>
        <v>1284.3400000000001</v>
      </c>
      <c r="Q8" s="24"/>
      <c r="R8" s="25">
        <v>1284.3399999999999</v>
      </c>
    </row>
    <row r="9" spans="1:19" x14ac:dyDescent="0.25">
      <c r="A9" s="45">
        <v>3</v>
      </c>
      <c r="B9" s="16" t="s">
        <v>57</v>
      </c>
      <c r="C9" s="14">
        <f>1514.17+99.73</f>
        <v>1613.9</v>
      </c>
      <c r="D9" s="27">
        <v>978.98</v>
      </c>
      <c r="E9" s="27"/>
      <c r="F9" s="27">
        <f>489.49+757.09+49.86+432.15</f>
        <v>1728.5899999999997</v>
      </c>
      <c r="G9" s="27"/>
      <c r="H9" s="27"/>
      <c r="I9" s="30"/>
      <c r="J9" s="30"/>
      <c r="K9" s="12">
        <f t="shared" si="0"/>
        <v>4321.4699999999993</v>
      </c>
      <c r="L9" s="3">
        <v>28.88</v>
      </c>
      <c r="M9" s="3">
        <f>303.79+137.39</f>
        <v>441.18</v>
      </c>
      <c r="N9" s="2">
        <f t="shared" si="1"/>
        <v>1709.0799999999995</v>
      </c>
      <c r="O9" s="2">
        <f t="shared" si="2"/>
        <v>2179.1399999999994</v>
      </c>
      <c r="P9" s="18">
        <f t="shared" si="3"/>
        <v>2142.33</v>
      </c>
      <c r="Q9" s="24"/>
      <c r="R9" s="25">
        <v>2142.33</v>
      </c>
    </row>
    <row r="10" spans="1:19" x14ac:dyDescent="0.25">
      <c r="A10" s="45">
        <v>4</v>
      </c>
      <c r="B10" s="16" t="s">
        <v>75</v>
      </c>
      <c r="C10" s="14">
        <f>4659.14+55.91</f>
        <v>4715.05</v>
      </c>
      <c r="D10" s="27">
        <v>931.83</v>
      </c>
      <c r="E10" s="27"/>
      <c r="F10" s="27"/>
      <c r="G10" s="27"/>
      <c r="H10" s="27"/>
      <c r="I10" s="30"/>
      <c r="J10" s="30"/>
      <c r="K10" s="12">
        <f t="shared" ref="K10" si="4">SUM(C10:I10)</f>
        <v>5646.88</v>
      </c>
      <c r="L10" s="3">
        <v>511.18</v>
      </c>
      <c r="M10" s="3">
        <v>626.73</v>
      </c>
      <c r="N10" s="2">
        <f t="shared" ref="N10" si="5">K10-L10-M10-R10</f>
        <v>42.049999999999272</v>
      </c>
      <c r="O10" s="2">
        <f t="shared" ref="O10" si="6">SUM(L10:N10)</f>
        <v>1179.9599999999994</v>
      </c>
      <c r="P10" s="18">
        <f t="shared" ref="P10" si="7">SUM(K10-O10)</f>
        <v>4466.920000000001</v>
      </c>
      <c r="Q10" s="24"/>
      <c r="R10" s="25">
        <v>4466.92</v>
      </c>
    </row>
    <row r="11" spans="1:19" x14ac:dyDescent="0.25">
      <c r="A11" s="45">
        <v>5</v>
      </c>
      <c r="B11" s="16" t="s">
        <v>2</v>
      </c>
      <c r="C11" s="14">
        <f>2922.46+379.92</f>
        <v>3302.38</v>
      </c>
      <c r="D11" s="27"/>
      <c r="E11" s="27"/>
      <c r="F11" s="27"/>
      <c r="G11" s="27"/>
      <c r="H11" s="27"/>
      <c r="I11" s="30"/>
      <c r="J11" s="30"/>
      <c r="K11" s="12">
        <f t="shared" si="0"/>
        <v>3302.38</v>
      </c>
      <c r="L11" s="3">
        <v>94.76</v>
      </c>
      <c r="M11" s="3">
        <v>305.27999999999997</v>
      </c>
      <c r="N11" s="2">
        <f t="shared" si="1"/>
        <v>1206.0900000000001</v>
      </c>
      <c r="O11" s="2">
        <f t="shared" si="2"/>
        <v>1606.13</v>
      </c>
      <c r="P11" s="18">
        <f>SUM(K11-O11)+H11</f>
        <v>1696.25</v>
      </c>
      <c r="Q11" s="24"/>
      <c r="R11" s="25">
        <v>1696.25</v>
      </c>
      <c r="S11" s="1"/>
    </row>
    <row r="12" spans="1:19" x14ac:dyDescent="0.25">
      <c r="A12" s="45">
        <v>6</v>
      </c>
      <c r="B12" s="16" t="s">
        <v>3</v>
      </c>
      <c r="C12" s="14">
        <v>4404.88</v>
      </c>
      <c r="D12" s="27"/>
      <c r="E12" s="27"/>
      <c r="F12" s="27"/>
      <c r="G12" s="27"/>
      <c r="H12" s="27"/>
      <c r="I12" s="30"/>
      <c r="J12" s="30"/>
      <c r="K12" s="12">
        <f t="shared" si="0"/>
        <v>4404.88</v>
      </c>
      <c r="L12" s="3">
        <v>253.08</v>
      </c>
      <c r="M12" s="3">
        <v>452.85</v>
      </c>
      <c r="N12" s="2">
        <f t="shared" si="1"/>
        <v>973.5600000000004</v>
      </c>
      <c r="O12" s="2">
        <f t="shared" si="2"/>
        <v>1679.4900000000005</v>
      </c>
      <c r="P12" s="18">
        <f t="shared" si="3"/>
        <v>2725.3899999999994</v>
      </c>
      <c r="Q12" s="24"/>
      <c r="R12" s="25">
        <v>2725.39</v>
      </c>
    </row>
    <row r="13" spans="1:19" x14ac:dyDescent="0.25">
      <c r="A13" s="45">
        <v>7</v>
      </c>
      <c r="B13" s="16" t="s">
        <v>73</v>
      </c>
      <c r="C13" s="14">
        <f>4659.14+55.91</f>
        <v>4715.05</v>
      </c>
      <c r="D13" s="27">
        <v>931.83</v>
      </c>
      <c r="E13" s="27"/>
      <c r="F13" s="27"/>
      <c r="G13" s="27"/>
      <c r="H13" s="27"/>
      <c r="I13" s="30"/>
      <c r="J13" s="30"/>
      <c r="K13" s="12">
        <f t="shared" si="0"/>
        <v>5646.88</v>
      </c>
      <c r="L13" s="3">
        <v>511.18</v>
      </c>
      <c r="M13" s="3">
        <v>626.73</v>
      </c>
      <c r="N13" s="2">
        <f t="shared" si="1"/>
        <v>6.8299999999990177</v>
      </c>
      <c r="O13" s="2">
        <f t="shared" si="2"/>
        <v>1144.7399999999991</v>
      </c>
      <c r="P13" s="18">
        <f t="shared" si="3"/>
        <v>4502.1400000000012</v>
      </c>
      <c r="Q13" s="24"/>
      <c r="R13" s="25">
        <v>4502.1400000000003</v>
      </c>
    </row>
    <row r="14" spans="1:19" x14ac:dyDescent="0.25">
      <c r="A14" s="45">
        <v>8</v>
      </c>
      <c r="B14" s="16" t="s">
        <v>4</v>
      </c>
      <c r="C14" s="14">
        <f>13962.05+7330.08</f>
        <v>21292.129999999997</v>
      </c>
      <c r="D14" s="27">
        <f>1396.21+5584.82</f>
        <v>6981.03</v>
      </c>
      <c r="E14" s="27"/>
      <c r="F14" s="27"/>
      <c r="G14" s="27"/>
      <c r="H14" s="27"/>
      <c r="I14" s="30"/>
      <c r="J14" s="30"/>
      <c r="K14" s="12">
        <f t="shared" si="0"/>
        <v>28273.159999999996</v>
      </c>
      <c r="L14" s="3">
        <v>6677.95</v>
      </c>
      <c r="M14" s="3">
        <v>828.38</v>
      </c>
      <c r="N14" s="2">
        <f>K14-L14-M14-R14</f>
        <v>343.47999999999593</v>
      </c>
      <c r="O14" s="2">
        <f t="shared" si="2"/>
        <v>7849.8099999999959</v>
      </c>
      <c r="P14" s="18">
        <f t="shared" si="3"/>
        <v>20423.349999999999</v>
      </c>
      <c r="Q14" s="24"/>
      <c r="R14" s="25">
        <v>20423.349999999999</v>
      </c>
    </row>
    <row r="15" spans="1:19" x14ac:dyDescent="0.25">
      <c r="A15" s="45">
        <v>9</v>
      </c>
      <c r="B15" s="16" t="s">
        <v>5</v>
      </c>
      <c r="C15" s="14">
        <f>13962.05+4495.78</f>
        <v>18457.829999999998</v>
      </c>
      <c r="D15" s="27">
        <v>5584.82</v>
      </c>
      <c r="E15" s="27"/>
      <c r="F15" s="27"/>
      <c r="G15" s="27"/>
      <c r="H15" s="27"/>
      <c r="I15" s="30"/>
      <c r="J15" s="30"/>
      <c r="K15" s="12">
        <f t="shared" ref="K15:K29" si="8">SUM(C15:I15)</f>
        <v>24042.649999999998</v>
      </c>
      <c r="L15" s="3">
        <v>5514.56</v>
      </c>
      <c r="M15" s="3">
        <v>828.38</v>
      </c>
      <c r="N15" s="2">
        <f t="shared" ref="N15:N38" si="9">K15-L15-M15-R15</f>
        <v>107.90999999999622</v>
      </c>
      <c r="O15" s="2">
        <f t="shared" si="2"/>
        <v>6450.8499999999967</v>
      </c>
      <c r="P15" s="18">
        <f t="shared" si="3"/>
        <v>17591.800000000003</v>
      </c>
      <c r="Q15" s="24"/>
      <c r="R15" s="25">
        <v>17591.8</v>
      </c>
    </row>
    <row r="16" spans="1:19" x14ac:dyDescent="0.25">
      <c r="A16" s="45">
        <v>10</v>
      </c>
      <c r="B16" s="16" t="s">
        <v>6</v>
      </c>
      <c r="C16" s="14">
        <f>2771.37+381.59</f>
        <v>3152.96</v>
      </c>
      <c r="D16" s="27">
        <v>1468.47</v>
      </c>
      <c r="E16" s="27"/>
      <c r="F16" s="44"/>
      <c r="G16" s="4"/>
      <c r="H16" s="27"/>
      <c r="I16" s="30"/>
      <c r="J16" s="30"/>
      <c r="K16" s="12">
        <f t="shared" si="8"/>
        <v>4621.43</v>
      </c>
      <c r="L16" s="3">
        <v>294.98</v>
      </c>
      <c r="M16" s="3">
        <v>483.17</v>
      </c>
      <c r="N16" s="2">
        <f t="shared" si="9"/>
        <v>20.970000000000709</v>
      </c>
      <c r="O16" s="2">
        <f t="shared" si="2"/>
        <v>799.1200000000008</v>
      </c>
      <c r="P16" s="18">
        <f t="shared" si="3"/>
        <v>3822.3099999999995</v>
      </c>
      <c r="Q16" s="24"/>
      <c r="R16" s="25">
        <v>3822.31</v>
      </c>
    </row>
    <row r="17" spans="1:18" x14ac:dyDescent="0.25">
      <c r="A17" s="45">
        <v>11</v>
      </c>
      <c r="B17" s="16" t="s">
        <v>7</v>
      </c>
      <c r="C17" s="14">
        <f>1474.65+412.9</f>
        <v>1887.5500000000002</v>
      </c>
      <c r="D17" s="27"/>
      <c r="E17" s="27"/>
      <c r="F17" s="27">
        <f>737.32+206.45+314.59</f>
        <v>1258.3599999999999</v>
      </c>
      <c r="G17" s="27"/>
      <c r="H17" s="27"/>
      <c r="I17" s="30"/>
      <c r="J17" s="30"/>
      <c r="K17" s="12">
        <f t="shared" si="8"/>
        <v>3145.91</v>
      </c>
      <c r="L17" s="3"/>
      <c r="M17" s="3">
        <f>191.43+95.07</f>
        <v>286.5</v>
      </c>
      <c r="N17" s="2">
        <f t="shared" si="9"/>
        <v>1588.8899999999999</v>
      </c>
      <c r="O17" s="2">
        <f t="shared" si="2"/>
        <v>1875.3899999999999</v>
      </c>
      <c r="P17" s="18">
        <f t="shared" si="3"/>
        <v>1270.52</v>
      </c>
      <c r="Q17" s="24"/>
      <c r="R17" s="25">
        <v>1270.52</v>
      </c>
    </row>
    <row r="18" spans="1:18" x14ac:dyDescent="0.25">
      <c r="A18" s="45">
        <v>12</v>
      </c>
      <c r="B18" s="16" t="s">
        <v>60</v>
      </c>
      <c r="C18" s="14">
        <f>2692.68+80.78</f>
        <v>2773.46</v>
      </c>
      <c r="D18" s="27"/>
      <c r="E18" s="27"/>
      <c r="F18" s="27">
        <f>538.54+16.16+184.9</f>
        <v>739.59999999999991</v>
      </c>
      <c r="G18" s="27"/>
      <c r="H18" s="27"/>
      <c r="I18" s="30"/>
      <c r="J18" s="30"/>
      <c r="K18" s="12">
        <f t="shared" si="8"/>
        <v>3513.06</v>
      </c>
      <c r="L18" s="3">
        <v>30.36</v>
      </c>
      <c r="M18" s="3">
        <f>275.09+55.47</f>
        <v>330.55999999999995</v>
      </c>
      <c r="N18" s="2">
        <f t="shared" si="9"/>
        <v>691.23999999999978</v>
      </c>
      <c r="O18" s="2">
        <f t="shared" si="2"/>
        <v>1052.1599999999999</v>
      </c>
      <c r="P18" s="18">
        <f t="shared" si="3"/>
        <v>2460.9</v>
      </c>
      <c r="Q18" s="24"/>
      <c r="R18" s="25">
        <v>2460.9</v>
      </c>
    </row>
    <row r="19" spans="1:18" x14ac:dyDescent="0.25">
      <c r="A19" s="45">
        <v>13</v>
      </c>
      <c r="B19" s="16" t="s">
        <v>8</v>
      </c>
      <c r="C19" s="14">
        <f>5915.87+1416.45</f>
        <v>7332.32</v>
      </c>
      <c r="D19" s="27">
        <v>2936.92</v>
      </c>
      <c r="E19" s="27"/>
      <c r="F19" s="27"/>
      <c r="G19" s="27"/>
      <c r="H19" s="27"/>
      <c r="I19" s="30"/>
      <c r="J19" s="30"/>
      <c r="K19" s="12">
        <f t="shared" si="8"/>
        <v>10269.24</v>
      </c>
      <c r="L19" s="3">
        <v>1570.46</v>
      </c>
      <c r="M19" s="3">
        <v>828.38</v>
      </c>
      <c r="N19" s="2">
        <f t="shared" si="9"/>
        <v>615.83999999999833</v>
      </c>
      <c r="O19" s="2">
        <f t="shared" si="2"/>
        <v>3014.6799999999985</v>
      </c>
      <c r="P19" s="18">
        <f t="shared" si="3"/>
        <v>7254.5600000000013</v>
      </c>
      <c r="Q19" s="24"/>
      <c r="R19" s="25">
        <v>7254.56</v>
      </c>
    </row>
    <row r="20" spans="1:18" x14ac:dyDescent="0.25">
      <c r="A20" s="45">
        <v>14</v>
      </c>
      <c r="B20" s="16" t="s">
        <v>9</v>
      </c>
      <c r="C20" s="14">
        <v>3048.51</v>
      </c>
      <c r="D20" s="27"/>
      <c r="E20" s="27"/>
      <c r="F20" s="27"/>
      <c r="G20" s="27"/>
      <c r="H20" s="27"/>
      <c r="I20" s="30"/>
      <c r="J20" s="30"/>
      <c r="K20" s="12">
        <f t="shared" si="8"/>
        <v>3048.51</v>
      </c>
      <c r="L20" s="3">
        <v>65.23</v>
      </c>
      <c r="M20" s="3">
        <v>274.81</v>
      </c>
      <c r="N20" s="2">
        <f t="shared" si="9"/>
        <v>6.830000000000382</v>
      </c>
      <c r="O20" s="2">
        <f t="shared" si="2"/>
        <v>346.8700000000004</v>
      </c>
      <c r="P20" s="18">
        <f t="shared" si="3"/>
        <v>2701.64</v>
      </c>
      <c r="Q20" s="24"/>
      <c r="R20" s="25">
        <v>2701.64</v>
      </c>
    </row>
    <row r="21" spans="1:18" x14ac:dyDescent="0.25">
      <c r="A21" s="45">
        <v>15</v>
      </c>
      <c r="B21" s="16" t="s">
        <v>10</v>
      </c>
      <c r="C21" s="14">
        <f>15270.08+9330.02</f>
        <v>24600.1</v>
      </c>
      <c r="D21" s="27">
        <v>20614.61</v>
      </c>
      <c r="E21" s="27"/>
      <c r="F21" s="27"/>
      <c r="G21" s="27"/>
      <c r="H21" s="27"/>
      <c r="I21" s="30"/>
      <c r="J21" s="30"/>
      <c r="K21" s="12">
        <f t="shared" si="8"/>
        <v>45214.71</v>
      </c>
      <c r="L21" s="3">
        <v>9708.5</v>
      </c>
      <c r="M21" s="3">
        <v>828.38</v>
      </c>
      <c r="N21" s="2">
        <f t="shared" si="9"/>
        <v>6242.7900000000009</v>
      </c>
      <c r="O21" s="2">
        <f t="shared" si="2"/>
        <v>16779.669999999998</v>
      </c>
      <c r="P21" s="18">
        <f t="shared" si="3"/>
        <v>28435.040000000001</v>
      </c>
      <c r="Q21" s="24"/>
      <c r="R21" s="25">
        <v>28435.040000000001</v>
      </c>
    </row>
    <row r="22" spans="1:18" x14ac:dyDescent="0.25">
      <c r="A22" s="45">
        <v>16</v>
      </c>
      <c r="B22" s="16" t="s">
        <v>11</v>
      </c>
      <c r="C22" s="14">
        <f>13962.05+4691.25</f>
        <v>18653.3</v>
      </c>
      <c r="D22" s="27">
        <v>2792.41</v>
      </c>
      <c r="E22" s="27"/>
      <c r="F22" s="27"/>
      <c r="G22" s="27"/>
      <c r="H22" s="27"/>
      <c r="I22" s="30"/>
      <c r="J22" s="30"/>
      <c r="K22" s="12">
        <f t="shared" si="8"/>
        <v>21445.71</v>
      </c>
      <c r="L22" s="3">
        <v>4748.2700000000004</v>
      </c>
      <c r="M22" s="3">
        <v>828.38</v>
      </c>
      <c r="N22" s="2">
        <f t="shared" si="9"/>
        <v>2394.9399999999987</v>
      </c>
      <c r="O22" s="2">
        <f t="shared" si="2"/>
        <v>7971.5899999999992</v>
      </c>
      <c r="P22" s="18">
        <f t="shared" si="3"/>
        <v>13474.119999999999</v>
      </c>
      <c r="Q22" s="24"/>
      <c r="R22" s="25">
        <v>13474.12</v>
      </c>
    </row>
    <row r="23" spans="1:18" x14ac:dyDescent="0.25">
      <c r="A23" s="45">
        <v>17</v>
      </c>
      <c r="B23" s="16" t="s">
        <v>12</v>
      </c>
      <c r="C23" s="14">
        <v>7617.74</v>
      </c>
      <c r="D23" s="27"/>
      <c r="E23" s="27"/>
      <c r="F23" s="27"/>
      <c r="G23" s="27"/>
      <c r="H23" s="27"/>
      <c r="I23" s="30"/>
      <c r="J23" s="30"/>
      <c r="K23" s="12">
        <f t="shared" si="8"/>
        <v>7617.74</v>
      </c>
      <c r="L23" s="3">
        <v>893.44</v>
      </c>
      <c r="M23" s="3">
        <v>828.38</v>
      </c>
      <c r="N23" s="2">
        <f t="shared" si="9"/>
        <v>2061.329999999999</v>
      </c>
      <c r="O23" s="2">
        <f t="shared" si="2"/>
        <v>3783.1499999999992</v>
      </c>
      <c r="P23" s="18">
        <f t="shared" si="3"/>
        <v>3834.5900000000006</v>
      </c>
      <c r="Q23" s="24"/>
      <c r="R23" s="25">
        <v>3834.59</v>
      </c>
    </row>
    <row r="24" spans="1:18" x14ac:dyDescent="0.25">
      <c r="A24" s="45">
        <v>18</v>
      </c>
      <c r="B24" s="16" t="s">
        <v>54</v>
      </c>
      <c r="C24" s="14">
        <f>2802.01+140.1</f>
        <v>2942.11</v>
      </c>
      <c r="D24" s="27"/>
      <c r="E24" s="27"/>
      <c r="F24" s="27">
        <f>560.4+28.02+196.14</f>
        <v>784.56</v>
      </c>
      <c r="G24" s="27"/>
      <c r="H24" s="27"/>
      <c r="I24" s="30"/>
      <c r="J24" s="30"/>
      <c r="K24" s="12">
        <f t="shared" si="8"/>
        <v>3726.67</v>
      </c>
      <c r="L24" s="3">
        <v>55.43</v>
      </c>
      <c r="M24" s="3">
        <f>299.06+58.84</f>
        <v>357.9</v>
      </c>
      <c r="N24" s="2">
        <f t="shared" si="9"/>
        <v>764.0300000000002</v>
      </c>
      <c r="O24" s="2">
        <f t="shared" si="2"/>
        <v>1177.3600000000001</v>
      </c>
      <c r="P24" s="18">
        <f t="shared" si="3"/>
        <v>2549.31</v>
      </c>
      <c r="Q24" s="24"/>
      <c r="R24" s="25">
        <v>2549.31</v>
      </c>
    </row>
    <row r="25" spans="1:18" x14ac:dyDescent="0.25">
      <c r="A25" s="45">
        <v>19</v>
      </c>
      <c r="B25" s="16" t="s">
        <v>78</v>
      </c>
      <c r="C25" s="14">
        <f>13962.05+4691.25</f>
        <v>18653.3</v>
      </c>
      <c r="D25" s="27">
        <v>2792.41</v>
      </c>
      <c r="E25" s="27"/>
      <c r="F25" s="27"/>
      <c r="G25" s="27"/>
      <c r="H25" s="27"/>
      <c r="I25" s="30"/>
      <c r="J25" s="30"/>
      <c r="K25" s="12">
        <f t="shared" si="8"/>
        <v>21445.71</v>
      </c>
      <c r="L25" s="3">
        <v>4748.2700000000004</v>
      </c>
      <c r="M25" s="3">
        <v>828.38</v>
      </c>
      <c r="N25" s="2">
        <f t="shared" si="9"/>
        <v>5098.9399999999987</v>
      </c>
      <c r="O25" s="2">
        <f t="shared" si="2"/>
        <v>10675.59</v>
      </c>
      <c r="P25" s="18">
        <f t="shared" si="3"/>
        <v>10770.119999999999</v>
      </c>
      <c r="Q25" s="24"/>
      <c r="R25" s="25">
        <v>10770.12</v>
      </c>
    </row>
    <row r="26" spans="1:18" x14ac:dyDescent="0.25">
      <c r="A26" s="45">
        <v>20</v>
      </c>
      <c r="B26" s="16" t="s">
        <v>13</v>
      </c>
      <c r="C26" s="14">
        <v>8109.21</v>
      </c>
      <c r="D26" s="27"/>
      <c r="E26" s="27"/>
      <c r="F26" s="27"/>
      <c r="G26" s="27"/>
      <c r="H26" s="27"/>
      <c r="I26" s="30"/>
      <c r="J26" s="30"/>
      <c r="K26" s="12">
        <f t="shared" si="8"/>
        <v>8109.21</v>
      </c>
      <c r="L26" s="3">
        <v>1080.73</v>
      </c>
      <c r="M26" s="3">
        <f>788.84+39.54</f>
        <v>828.38</v>
      </c>
      <c r="N26" s="2">
        <f t="shared" si="9"/>
        <v>1674.2799999999997</v>
      </c>
      <c r="O26" s="2">
        <f t="shared" si="2"/>
        <v>3583.39</v>
      </c>
      <c r="P26" s="18">
        <f>SUM(K26-O26)+H26</f>
        <v>4525.82</v>
      </c>
      <c r="Q26" s="24"/>
      <c r="R26" s="25">
        <v>4525.82</v>
      </c>
    </row>
    <row r="27" spans="1:18" x14ac:dyDescent="0.25">
      <c r="A27" s="45">
        <v>21</v>
      </c>
      <c r="B27" s="16" t="s">
        <v>14</v>
      </c>
      <c r="C27" s="14">
        <f>8177.52+654.2</f>
        <v>8831.7200000000012</v>
      </c>
      <c r="D27" s="27"/>
      <c r="E27" s="27"/>
      <c r="F27" s="27"/>
      <c r="G27" s="27"/>
      <c r="H27" s="27"/>
      <c r="I27" s="30"/>
      <c r="J27" s="30"/>
      <c r="K27" s="12">
        <f t="shared" si="8"/>
        <v>8831.7200000000012</v>
      </c>
      <c r="L27" s="3">
        <v>1331.56</v>
      </c>
      <c r="M27" s="3">
        <v>828.38</v>
      </c>
      <c r="N27" s="2">
        <f t="shared" si="9"/>
        <v>7.1100000000014916</v>
      </c>
      <c r="O27" s="2">
        <f t="shared" si="2"/>
        <v>2167.0500000000015</v>
      </c>
      <c r="P27" s="18">
        <f t="shared" si="3"/>
        <v>6664.67</v>
      </c>
      <c r="Q27" s="24"/>
      <c r="R27" s="25">
        <v>6664.67</v>
      </c>
    </row>
    <row r="28" spans="1:18" x14ac:dyDescent="0.25">
      <c r="A28" s="45">
        <v>23</v>
      </c>
      <c r="B28" s="16" t="s">
        <v>15</v>
      </c>
      <c r="C28" s="14">
        <f>5076.08+1439.8</f>
        <v>6515.88</v>
      </c>
      <c r="D28" s="27">
        <v>1468.47</v>
      </c>
      <c r="E28" s="27"/>
      <c r="F28" s="27"/>
      <c r="G28" s="27"/>
      <c r="H28" s="27"/>
      <c r="I28" s="30"/>
      <c r="J28" s="30"/>
      <c r="K28" s="12">
        <f t="shared" si="8"/>
        <v>7984.35</v>
      </c>
      <c r="L28" s="3">
        <v>994.26</v>
      </c>
      <c r="M28" s="3">
        <f>686.88+141.5</f>
        <v>828.38</v>
      </c>
      <c r="N28" s="2">
        <f t="shared" si="9"/>
        <v>787.77999999999975</v>
      </c>
      <c r="O28" s="2">
        <f t="shared" si="2"/>
        <v>2610.4199999999996</v>
      </c>
      <c r="P28" s="18">
        <f t="shared" si="3"/>
        <v>5373.93</v>
      </c>
      <c r="Q28" s="24"/>
      <c r="R28" s="25">
        <v>5373.93</v>
      </c>
    </row>
    <row r="29" spans="1:18" x14ac:dyDescent="0.25">
      <c r="A29" s="45">
        <v>24</v>
      </c>
      <c r="B29" s="16" t="s">
        <v>16</v>
      </c>
      <c r="C29" s="14">
        <f>5631.73+1858.47</f>
        <v>7490.2</v>
      </c>
      <c r="D29" s="27"/>
      <c r="E29" s="27"/>
      <c r="F29" s="27"/>
      <c r="G29" s="27"/>
      <c r="H29" s="27"/>
      <c r="I29" s="30"/>
      <c r="J29" s="30"/>
      <c r="K29" s="12">
        <f t="shared" si="8"/>
        <v>7490.2</v>
      </c>
      <c r="L29" s="3">
        <v>962.64</v>
      </c>
      <c r="M29" s="3">
        <v>828.38</v>
      </c>
      <c r="N29" s="2">
        <f t="shared" si="9"/>
        <v>270.80999999999949</v>
      </c>
      <c r="O29" s="2">
        <f t="shared" si="2"/>
        <v>2061.8299999999995</v>
      </c>
      <c r="P29" s="18">
        <f t="shared" si="3"/>
        <v>5428.3700000000008</v>
      </c>
      <c r="Q29" s="24"/>
      <c r="R29" s="25">
        <v>5428.37</v>
      </c>
    </row>
    <row r="30" spans="1:18" x14ac:dyDescent="0.25">
      <c r="A30" s="45">
        <v>25</v>
      </c>
      <c r="B30" s="16" t="s">
        <v>58</v>
      </c>
      <c r="C30" s="14">
        <f>5277.86+211.11</f>
        <v>5488.9699999999993</v>
      </c>
      <c r="D30" s="27"/>
      <c r="E30" s="27"/>
      <c r="F30" s="27"/>
      <c r="G30" s="27"/>
      <c r="H30" s="27"/>
      <c r="I30" s="30"/>
      <c r="J30" s="30"/>
      <c r="K30" s="12">
        <f>SUM(C30:I30)</f>
        <v>5488.9699999999993</v>
      </c>
      <c r="L30" s="3">
        <v>473.83</v>
      </c>
      <c r="M30" s="3">
        <v>604.63</v>
      </c>
      <c r="N30" s="2">
        <f t="shared" ref="N30" si="10">K30-L30-M30-R30</f>
        <v>42.049999999999272</v>
      </c>
      <c r="O30" s="2">
        <f t="shared" ref="O30" si="11">SUM(L30:N30)</f>
        <v>1120.5099999999993</v>
      </c>
      <c r="P30" s="18">
        <f>SUM(K30-O30)+H30</f>
        <v>4368.46</v>
      </c>
      <c r="Q30" s="24"/>
      <c r="R30" s="25">
        <v>4368.46</v>
      </c>
    </row>
    <row r="31" spans="1:18" x14ac:dyDescent="0.25">
      <c r="A31" s="45">
        <v>26</v>
      </c>
      <c r="B31" s="16" t="s">
        <v>17</v>
      </c>
      <c r="C31" s="14">
        <f>2146.93+472.32</f>
        <v>2619.25</v>
      </c>
      <c r="D31" s="27"/>
      <c r="E31" s="27"/>
      <c r="F31" s="27"/>
      <c r="G31" s="27"/>
      <c r="H31" s="27"/>
      <c r="I31" s="30"/>
      <c r="J31" s="30"/>
      <c r="K31" s="12">
        <f>SUM(C31:I31)</f>
        <v>2619.25</v>
      </c>
      <c r="L31" s="3">
        <v>26.09</v>
      </c>
      <c r="M31" s="3">
        <v>203.65</v>
      </c>
      <c r="N31" s="2">
        <f t="shared" si="9"/>
        <v>768.11999999999966</v>
      </c>
      <c r="O31" s="2">
        <f t="shared" si="2"/>
        <v>997.85999999999967</v>
      </c>
      <c r="P31" s="18">
        <f>SUM(K31-O31)+H31</f>
        <v>1621.3900000000003</v>
      </c>
      <c r="Q31" s="24"/>
      <c r="R31" s="25">
        <v>1621.39</v>
      </c>
    </row>
    <row r="32" spans="1:18" x14ac:dyDescent="0.25">
      <c r="A32" s="45">
        <v>27</v>
      </c>
      <c r="B32" s="16" t="s">
        <v>18</v>
      </c>
      <c r="C32" s="14">
        <f>5915.87+993.87</f>
        <v>6909.74</v>
      </c>
      <c r="D32" s="27">
        <v>1183.17</v>
      </c>
      <c r="E32" s="27"/>
      <c r="F32" s="27"/>
      <c r="G32" s="27"/>
      <c r="H32" s="27"/>
      <c r="I32" s="30"/>
      <c r="J32" s="30"/>
      <c r="K32" s="12">
        <f>SUM(C32:I32)</f>
        <v>8092.91</v>
      </c>
      <c r="L32" s="3">
        <v>1128.3900000000001</v>
      </c>
      <c r="M32" s="3">
        <f>408.05+420.33</f>
        <v>828.38</v>
      </c>
      <c r="N32" s="2">
        <f t="shared" si="9"/>
        <v>67.049999999999272</v>
      </c>
      <c r="O32" s="2">
        <f t="shared" si="2"/>
        <v>2023.8199999999993</v>
      </c>
      <c r="P32" s="18">
        <f t="shared" si="3"/>
        <v>6069.09</v>
      </c>
      <c r="Q32" s="24"/>
      <c r="R32" s="25">
        <v>6069.09</v>
      </c>
    </row>
    <row r="33" spans="1:18" x14ac:dyDescent="0.25">
      <c r="A33" s="45">
        <v>28</v>
      </c>
      <c r="B33" s="16" t="s">
        <v>19</v>
      </c>
      <c r="C33" s="14">
        <f>13962.05+4356.16</f>
        <v>18318.21</v>
      </c>
      <c r="D33" s="27">
        <v>2792.41</v>
      </c>
      <c r="E33" s="27"/>
      <c r="F33" s="27"/>
      <c r="G33" s="27"/>
      <c r="H33" s="27"/>
      <c r="I33" s="30"/>
      <c r="J33" s="30"/>
      <c r="K33" s="12">
        <f t="shared" ref="K33:K38" si="12">SUM(C33:I33)</f>
        <v>21110.62</v>
      </c>
      <c r="L33" s="3">
        <v>4656.12</v>
      </c>
      <c r="M33" s="3">
        <v>828.38</v>
      </c>
      <c r="N33" s="2">
        <f t="shared" si="9"/>
        <v>7.1100000000005821</v>
      </c>
      <c r="O33" s="2">
        <f t="shared" si="2"/>
        <v>5491.6100000000006</v>
      </c>
      <c r="P33" s="18">
        <f t="shared" si="3"/>
        <v>15619.009999999998</v>
      </c>
      <c r="Q33" s="24"/>
      <c r="R33" s="25">
        <v>15619.01</v>
      </c>
    </row>
    <row r="34" spans="1:18" x14ac:dyDescent="0.25">
      <c r="A34" s="45">
        <v>29</v>
      </c>
      <c r="B34" s="16" t="s">
        <v>59</v>
      </c>
      <c r="C34" s="14">
        <f>5799.31+835.1</f>
        <v>6634.4100000000008</v>
      </c>
      <c r="D34" s="27">
        <v>1159.8599999999999</v>
      </c>
      <c r="E34" s="27"/>
      <c r="F34" s="27"/>
      <c r="G34" s="27"/>
      <c r="H34" s="27"/>
      <c r="I34" s="30"/>
      <c r="J34" s="30"/>
      <c r="K34" s="12">
        <f t="shared" si="12"/>
        <v>7794.27</v>
      </c>
      <c r="L34" s="3">
        <v>1046.26</v>
      </c>
      <c r="M34" s="3">
        <f>264.74+563.64</f>
        <v>828.38</v>
      </c>
      <c r="N34" s="2">
        <f t="shared" si="9"/>
        <v>32.109999999999673</v>
      </c>
      <c r="O34" s="2">
        <f t="shared" si="2"/>
        <v>1906.7499999999995</v>
      </c>
      <c r="P34" s="18">
        <f t="shared" si="3"/>
        <v>5887.52</v>
      </c>
      <c r="Q34" s="24"/>
      <c r="R34" s="25">
        <v>5887.52</v>
      </c>
    </row>
    <row r="35" spans="1:18" x14ac:dyDescent="0.25">
      <c r="A35" s="45">
        <v>30</v>
      </c>
      <c r="B35" s="16" t="s">
        <v>20</v>
      </c>
      <c r="C35" s="14">
        <f>5517.84+529.71</f>
        <v>6047.55</v>
      </c>
      <c r="D35" s="27">
        <v>1103.57</v>
      </c>
      <c r="E35" s="27"/>
      <c r="F35" s="27"/>
      <c r="G35" s="27"/>
      <c r="H35" s="27"/>
      <c r="I35" s="30"/>
      <c r="J35" s="30"/>
      <c r="K35" s="12">
        <f t="shared" si="12"/>
        <v>7151.12</v>
      </c>
      <c r="L35" s="3">
        <v>712.98</v>
      </c>
      <c r="M35" s="3">
        <v>828.38</v>
      </c>
      <c r="N35" s="2">
        <f t="shared" si="9"/>
        <v>1964.7499999999991</v>
      </c>
      <c r="O35" s="2">
        <f t="shared" si="2"/>
        <v>3506.1099999999992</v>
      </c>
      <c r="P35" s="18">
        <f>SUM(K35-O35)+H35</f>
        <v>3645.0100000000007</v>
      </c>
      <c r="Q35" s="24"/>
      <c r="R35" s="25">
        <v>3645.01</v>
      </c>
    </row>
    <row r="36" spans="1:18" x14ac:dyDescent="0.25">
      <c r="A36" s="45">
        <v>31</v>
      </c>
      <c r="B36" s="16" t="s">
        <v>56</v>
      </c>
      <c r="C36" s="14">
        <f>2271.26+113.56</f>
        <v>2384.8200000000002</v>
      </c>
      <c r="D36" s="27"/>
      <c r="E36" s="27"/>
      <c r="F36" s="27"/>
      <c r="G36" s="27"/>
      <c r="H36" s="27"/>
      <c r="I36" s="30"/>
      <c r="J36" s="30"/>
      <c r="K36" s="12">
        <f t="shared" si="12"/>
        <v>2384.8200000000002</v>
      </c>
      <c r="L36" s="3">
        <v>21.33</v>
      </c>
      <c r="M36" s="3">
        <v>196.45</v>
      </c>
      <c r="N36" s="2">
        <f t="shared" ref="N36" si="13">K36-L36-M36-R36</f>
        <v>18.470000000000255</v>
      </c>
      <c r="O36" s="2">
        <f t="shared" ref="O36" si="14">SUM(L36:N36)</f>
        <v>236.25000000000023</v>
      </c>
      <c r="P36" s="18">
        <f t="shared" ref="P36" si="15">SUM(K36-O36)</f>
        <v>2148.5699999999997</v>
      </c>
      <c r="Q36" s="24"/>
      <c r="R36" s="25">
        <v>2148.5700000000002</v>
      </c>
    </row>
    <row r="37" spans="1:18" x14ac:dyDescent="0.25">
      <c r="A37" s="45">
        <v>32</v>
      </c>
      <c r="B37" s="16" t="s">
        <v>21</v>
      </c>
      <c r="C37" s="14">
        <f>3282.15+426.68</f>
        <v>3708.83</v>
      </c>
      <c r="D37" s="27"/>
      <c r="E37" s="27"/>
      <c r="F37" s="27"/>
      <c r="G37" s="27"/>
      <c r="H37" s="27"/>
      <c r="I37" s="30"/>
      <c r="J37" s="30"/>
      <c r="K37" s="12">
        <f t="shared" si="12"/>
        <v>3708.83</v>
      </c>
      <c r="L37" s="3">
        <v>148.21</v>
      </c>
      <c r="M37" s="3">
        <v>355.41</v>
      </c>
      <c r="N37" s="2">
        <f t="shared" si="9"/>
        <v>613.94000000000005</v>
      </c>
      <c r="O37" s="2">
        <f t="shared" si="2"/>
        <v>1117.56</v>
      </c>
      <c r="P37" s="18">
        <f t="shared" si="3"/>
        <v>2591.27</v>
      </c>
      <c r="Q37" s="24"/>
      <c r="R37" s="25">
        <v>2591.27</v>
      </c>
    </row>
    <row r="38" spans="1:18" x14ac:dyDescent="0.25">
      <c r="A38" s="45">
        <v>33</v>
      </c>
      <c r="B38" s="16" t="s">
        <v>22</v>
      </c>
      <c r="C38" s="14">
        <f>13962.05+4523.7</f>
        <v>18485.75</v>
      </c>
      <c r="D38" s="27">
        <v>2792.41</v>
      </c>
      <c r="E38" s="27"/>
      <c r="F38" s="27"/>
      <c r="G38" s="27"/>
      <c r="H38" s="27"/>
      <c r="I38" s="30"/>
      <c r="J38" s="30"/>
      <c r="K38" s="12">
        <f t="shared" si="12"/>
        <v>21278.16</v>
      </c>
      <c r="L38" s="3">
        <v>4650.05</v>
      </c>
      <c r="M38" s="3">
        <v>828.38</v>
      </c>
      <c r="N38" s="2">
        <f t="shared" si="9"/>
        <v>84.830000000001746</v>
      </c>
      <c r="O38" s="2">
        <f t="shared" si="2"/>
        <v>5563.260000000002</v>
      </c>
      <c r="P38" s="18">
        <f t="shared" si="3"/>
        <v>15714.899999999998</v>
      </c>
      <c r="Q38" s="24"/>
      <c r="R38" s="25">
        <v>15714.9</v>
      </c>
    </row>
    <row r="39" spans="1:18" x14ac:dyDescent="0.25">
      <c r="A39" s="45">
        <v>34</v>
      </c>
      <c r="B39" s="34" t="s">
        <v>23</v>
      </c>
      <c r="C39" s="35">
        <f>2310.84+300.41</f>
        <v>2611.25</v>
      </c>
      <c r="D39" s="28"/>
      <c r="E39" s="28"/>
      <c r="F39" s="28"/>
      <c r="G39" s="28"/>
      <c r="H39" s="28"/>
      <c r="I39" s="33"/>
      <c r="J39" s="33"/>
      <c r="K39" s="36">
        <f t="shared" ref="K39:K46" si="16">SUM(C39:I39)</f>
        <v>2611.25</v>
      </c>
      <c r="L39" s="37">
        <v>36.369999999999997</v>
      </c>
      <c r="M39" s="37">
        <v>222.34</v>
      </c>
      <c r="N39" s="38">
        <f t="shared" ref="N39:N56" si="17">K39-L39-M39-R39</f>
        <v>1027.32</v>
      </c>
      <c r="O39" s="38">
        <f t="shared" si="2"/>
        <v>1286.03</v>
      </c>
      <c r="P39" s="39">
        <f t="shared" si="3"/>
        <v>1325.22</v>
      </c>
      <c r="Q39" s="24"/>
      <c r="R39" s="25">
        <v>1325.22</v>
      </c>
    </row>
    <row r="40" spans="1:18" x14ac:dyDescent="0.25">
      <c r="A40" s="45">
        <v>35</v>
      </c>
      <c r="B40" s="16" t="s">
        <v>24</v>
      </c>
      <c r="C40" s="14">
        <f>4167.45+958.51</f>
        <v>5125.96</v>
      </c>
      <c r="D40" s="27"/>
      <c r="E40" s="27"/>
      <c r="F40" s="27"/>
      <c r="G40" s="27"/>
      <c r="H40" s="27"/>
      <c r="I40" s="31"/>
      <c r="J40" s="31"/>
      <c r="K40" s="12">
        <f t="shared" si="16"/>
        <v>5125.96</v>
      </c>
      <c r="L40" s="3">
        <v>392.6</v>
      </c>
      <c r="M40" s="3">
        <v>553.80999999999995</v>
      </c>
      <c r="N40" s="2">
        <f t="shared" si="17"/>
        <v>584.67999999999938</v>
      </c>
      <c r="O40" s="2">
        <f t="shared" si="2"/>
        <v>1531.0899999999992</v>
      </c>
      <c r="P40" s="18">
        <f t="shared" si="3"/>
        <v>3594.8700000000008</v>
      </c>
      <c r="Q40" s="24"/>
      <c r="R40" s="25">
        <v>3594.87</v>
      </c>
    </row>
    <row r="41" spans="1:18" x14ac:dyDescent="0.25">
      <c r="A41" s="45">
        <v>36</v>
      </c>
      <c r="B41" s="16" t="s">
        <v>25</v>
      </c>
      <c r="C41" s="14">
        <f>9214.63+1474.34</f>
        <v>10688.97</v>
      </c>
      <c r="D41" s="27"/>
      <c r="E41" s="27"/>
      <c r="F41" s="27"/>
      <c r="G41" s="27"/>
      <c r="H41" s="27"/>
      <c r="I41" s="31">
        <v>4009.77</v>
      </c>
      <c r="J41" s="31"/>
      <c r="K41" s="12">
        <f t="shared" si="16"/>
        <v>14698.74</v>
      </c>
      <c r="L41" s="3">
        <v>2892.85</v>
      </c>
      <c r="M41" s="3">
        <f>619.25+209.13</f>
        <v>828.38</v>
      </c>
      <c r="N41" s="2">
        <f t="shared" si="17"/>
        <v>812.5</v>
      </c>
      <c r="O41" s="2">
        <f t="shared" si="2"/>
        <v>4533.7299999999996</v>
      </c>
      <c r="P41" s="18">
        <f t="shared" si="3"/>
        <v>10165.01</v>
      </c>
      <c r="Q41" s="24"/>
      <c r="R41" s="25">
        <v>10165.01</v>
      </c>
    </row>
    <row r="42" spans="1:18" x14ac:dyDescent="0.25">
      <c r="A42" s="45">
        <v>37</v>
      </c>
      <c r="B42" s="16" t="s">
        <v>26</v>
      </c>
      <c r="C42" s="14">
        <f>6211.79+3358.05</f>
        <v>9569.84</v>
      </c>
      <c r="D42" s="27">
        <v>6703.8</v>
      </c>
      <c r="E42" s="27"/>
      <c r="F42" s="27"/>
      <c r="G42" s="27"/>
      <c r="H42" s="27"/>
      <c r="I42" s="31"/>
      <c r="J42" s="31"/>
      <c r="K42" s="12">
        <f t="shared" si="16"/>
        <v>16273.64</v>
      </c>
      <c r="L42" s="3">
        <v>3378.09</v>
      </c>
      <c r="M42" s="3">
        <f>389.48+438.9</f>
        <v>828.38</v>
      </c>
      <c r="N42" s="2">
        <f>K42-L42-M42-R42</f>
        <v>1031.1599999999999</v>
      </c>
      <c r="O42" s="2">
        <f>SUM(L42:N42)</f>
        <v>5237.63</v>
      </c>
      <c r="P42" s="18">
        <f t="shared" si="3"/>
        <v>11036.009999999998</v>
      </c>
      <c r="Q42" s="24"/>
      <c r="R42" s="25">
        <v>11036.01</v>
      </c>
    </row>
    <row r="43" spans="1:18" x14ac:dyDescent="0.25">
      <c r="A43" s="45">
        <v>38</v>
      </c>
      <c r="B43" s="16" t="s">
        <v>27</v>
      </c>
      <c r="C43" s="14">
        <f>5799.31+1113.47</f>
        <v>6912.7800000000007</v>
      </c>
      <c r="D43" s="27">
        <v>1159.8599999999999</v>
      </c>
      <c r="E43" s="27"/>
      <c r="F43" s="27"/>
      <c r="G43" s="27"/>
      <c r="H43" s="27"/>
      <c r="I43" s="31"/>
      <c r="J43" s="31"/>
      <c r="K43" s="12">
        <f t="shared" si="16"/>
        <v>8072.64</v>
      </c>
      <c r="L43" s="3">
        <v>1018.54</v>
      </c>
      <c r="M43" s="3">
        <v>828.38</v>
      </c>
      <c r="N43" s="2">
        <f t="shared" si="17"/>
        <v>520.89000000000033</v>
      </c>
      <c r="O43" s="2">
        <f t="shared" si="2"/>
        <v>2367.8100000000004</v>
      </c>
      <c r="P43" s="18">
        <f t="shared" si="3"/>
        <v>5704.83</v>
      </c>
      <c r="Q43" s="24"/>
      <c r="R43" s="25">
        <v>5704.83</v>
      </c>
    </row>
    <row r="44" spans="1:18" x14ac:dyDescent="0.25">
      <c r="A44" s="45">
        <v>39</v>
      </c>
      <c r="B44" s="16" t="s">
        <v>28</v>
      </c>
      <c r="C44" s="14">
        <f>6403.56+1857.03</f>
        <v>8260.59</v>
      </c>
      <c r="D44" s="27"/>
      <c r="E44" s="27"/>
      <c r="F44" s="27"/>
      <c r="G44" s="27"/>
      <c r="H44" s="27"/>
      <c r="I44" s="31"/>
      <c r="J44" s="31"/>
      <c r="K44" s="12">
        <f t="shared" si="16"/>
        <v>8260.59</v>
      </c>
      <c r="L44" s="3">
        <v>1122.3599999999999</v>
      </c>
      <c r="M44" s="3">
        <f>261.7+566.68</f>
        <v>828.37999999999988</v>
      </c>
      <c r="N44" s="2">
        <f t="shared" si="17"/>
        <v>1065.2600000000002</v>
      </c>
      <c r="O44" s="2">
        <f t="shared" si="2"/>
        <v>3016</v>
      </c>
      <c r="P44" s="18">
        <f>SUM(K44-O44)+H44</f>
        <v>5244.59</v>
      </c>
      <c r="Q44" s="24"/>
      <c r="R44" s="25">
        <v>5244.59</v>
      </c>
    </row>
    <row r="45" spans="1:18" x14ac:dyDescent="0.25">
      <c r="A45" s="45">
        <v>40</v>
      </c>
      <c r="B45" s="16" t="s">
        <v>29</v>
      </c>
      <c r="C45" s="14">
        <f>5799.31+835.1</f>
        <v>6634.4100000000008</v>
      </c>
      <c r="D45" s="27">
        <v>1159.8599999999999</v>
      </c>
      <c r="E45" s="27"/>
      <c r="F45" s="27"/>
      <c r="G45" s="27"/>
      <c r="H45" s="27"/>
      <c r="I45" s="31"/>
      <c r="J45" s="31"/>
      <c r="K45" s="12">
        <f t="shared" si="16"/>
        <v>7794.27</v>
      </c>
      <c r="L45" s="3">
        <v>1046.26</v>
      </c>
      <c r="M45" s="3">
        <f>503.69+324.69</f>
        <v>828.38</v>
      </c>
      <c r="N45" s="2">
        <f t="shared" si="17"/>
        <v>996.38000000000011</v>
      </c>
      <c r="O45" s="2">
        <f t="shared" si="2"/>
        <v>2871.02</v>
      </c>
      <c r="P45" s="18">
        <f>SUM(K45-O45)+H45</f>
        <v>4923.25</v>
      </c>
      <c r="Q45" s="24"/>
      <c r="R45" s="25">
        <v>4923.25</v>
      </c>
    </row>
    <row r="46" spans="1:18" x14ac:dyDescent="0.25">
      <c r="A46" s="45">
        <v>41</v>
      </c>
      <c r="B46" s="16" t="s">
        <v>30</v>
      </c>
      <c r="C46" s="14">
        <f>4473.12+581.51</f>
        <v>5054.63</v>
      </c>
      <c r="D46" s="27"/>
      <c r="E46" s="27"/>
      <c r="F46" s="27"/>
      <c r="G46" s="27"/>
      <c r="H46" s="27"/>
      <c r="I46" s="31"/>
      <c r="J46" s="31"/>
      <c r="K46" s="12">
        <f t="shared" si="16"/>
        <v>5054.63</v>
      </c>
      <c r="L46" s="3">
        <v>293.49</v>
      </c>
      <c r="M46" s="3">
        <v>543.82000000000005</v>
      </c>
      <c r="N46" s="2">
        <f t="shared" si="17"/>
        <v>855.57000000000062</v>
      </c>
      <c r="O46" s="2">
        <f t="shared" si="2"/>
        <v>1692.8800000000006</v>
      </c>
      <c r="P46" s="18">
        <f t="shared" si="3"/>
        <v>3361.7499999999995</v>
      </c>
      <c r="Q46" s="24"/>
      <c r="R46" s="25">
        <v>3361.75</v>
      </c>
    </row>
    <row r="47" spans="1:18" x14ac:dyDescent="0.25">
      <c r="A47" s="45">
        <v>42</v>
      </c>
      <c r="B47" s="16" t="s">
        <v>31</v>
      </c>
      <c r="C47" s="14">
        <f>5799.31+1136.66</f>
        <v>6935.97</v>
      </c>
      <c r="D47" s="27">
        <v>2319.7199999999998</v>
      </c>
      <c r="E47" s="27"/>
      <c r="F47" s="27"/>
      <c r="G47" s="27"/>
      <c r="H47" s="27"/>
      <c r="I47" s="31"/>
      <c r="J47" s="31"/>
      <c r="K47" s="12">
        <f t="shared" ref="K47:K54" si="18">SUM(C47:I47)</f>
        <v>9255.69</v>
      </c>
      <c r="L47" s="3">
        <v>1396.01</v>
      </c>
      <c r="M47" s="3">
        <f>135.92+692.46</f>
        <v>828.38</v>
      </c>
      <c r="N47" s="2">
        <f t="shared" si="17"/>
        <v>255</v>
      </c>
      <c r="O47" s="2">
        <f t="shared" si="2"/>
        <v>2479.39</v>
      </c>
      <c r="P47" s="18">
        <f t="shared" si="3"/>
        <v>6776.3000000000011</v>
      </c>
      <c r="Q47" s="24"/>
      <c r="R47" s="25">
        <v>6776.3</v>
      </c>
    </row>
    <row r="48" spans="1:18" x14ac:dyDescent="0.25">
      <c r="A48" s="45">
        <v>43</v>
      </c>
      <c r="B48" s="16" t="s">
        <v>32</v>
      </c>
      <c r="C48" s="14">
        <f>5998.6+599.86</f>
        <v>6598.46</v>
      </c>
      <c r="D48" s="27"/>
      <c r="E48" s="27"/>
      <c r="F48" s="27"/>
      <c r="G48" s="27"/>
      <c r="H48" s="27"/>
      <c r="I48" s="31"/>
      <c r="J48" s="31"/>
      <c r="K48" s="12">
        <f t="shared" si="18"/>
        <v>6598.46</v>
      </c>
      <c r="L48" s="3">
        <v>684.09</v>
      </c>
      <c r="M48" s="3">
        <v>759.96</v>
      </c>
      <c r="N48" s="2">
        <f t="shared" si="17"/>
        <v>1012.6599999999999</v>
      </c>
      <c r="O48" s="2">
        <f t="shared" si="2"/>
        <v>2456.71</v>
      </c>
      <c r="P48" s="18">
        <f t="shared" si="3"/>
        <v>4141.75</v>
      </c>
      <c r="Q48" s="24"/>
      <c r="R48" s="25">
        <v>4141.75</v>
      </c>
    </row>
    <row r="49" spans="1:18" x14ac:dyDescent="0.25">
      <c r="A49" s="45">
        <v>44</v>
      </c>
      <c r="B49" s="16" t="s">
        <v>55</v>
      </c>
      <c r="C49" s="14">
        <f>2271.26+113.56</f>
        <v>2384.8200000000002</v>
      </c>
      <c r="D49" s="27"/>
      <c r="E49" s="27"/>
      <c r="F49" s="27"/>
      <c r="G49" s="27"/>
      <c r="H49" s="27"/>
      <c r="I49" s="31"/>
      <c r="J49" s="31"/>
      <c r="K49" s="12">
        <f t="shared" si="18"/>
        <v>2384.8200000000002</v>
      </c>
      <c r="L49" s="3">
        <v>21.33</v>
      </c>
      <c r="M49" s="3">
        <v>196.45</v>
      </c>
      <c r="N49" s="2">
        <f t="shared" ref="N49" si="19">K49-L49-M49-R49</f>
        <v>7.1100000000005821</v>
      </c>
      <c r="O49" s="2">
        <f t="shared" ref="O49" si="20">SUM(L49:N49)</f>
        <v>224.89000000000055</v>
      </c>
      <c r="P49" s="18">
        <f t="shared" ref="P49" si="21">SUM(K49-O49)</f>
        <v>2159.9299999999994</v>
      </c>
      <c r="Q49" s="24"/>
      <c r="R49" s="25">
        <v>2159.9299999999998</v>
      </c>
    </row>
    <row r="50" spans="1:18" x14ac:dyDescent="0.25">
      <c r="A50" s="45">
        <v>45</v>
      </c>
      <c r="B50" s="16" t="s">
        <v>33</v>
      </c>
      <c r="C50" s="14">
        <f>13962.05+5026.34</f>
        <v>18988.39</v>
      </c>
      <c r="D50" s="27">
        <v>2792.41</v>
      </c>
      <c r="E50" s="27"/>
      <c r="F50" s="27"/>
      <c r="G50" s="27"/>
      <c r="H50" s="27"/>
      <c r="I50" s="31"/>
      <c r="J50" s="31"/>
      <c r="K50" s="12">
        <f t="shared" si="18"/>
        <v>21780.799999999999</v>
      </c>
      <c r="L50" s="3">
        <v>4892.5600000000004</v>
      </c>
      <c r="M50" s="3">
        <v>828.38</v>
      </c>
      <c r="N50" s="2">
        <f t="shared" si="17"/>
        <v>7.1099999999987631</v>
      </c>
      <c r="O50" s="2">
        <f t="shared" si="2"/>
        <v>5728.0499999999993</v>
      </c>
      <c r="P50" s="18">
        <f>SUM(K50-O50)+H50</f>
        <v>16052.75</v>
      </c>
      <c r="Q50" s="24"/>
      <c r="R50" s="25">
        <v>16052.75</v>
      </c>
    </row>
    <row r="51" spans="1:18" x14ac:dyDescent="0.25">
      <c r="A51" s="45">
        <v>46</v>
      </c>
      <c r="B51" s="16" t="s">
        <v>34</v>
      </c>
      <c r="C51" s="14">
        <f>2333.95+373.43</f>
        <v>2707.3799999999997</v>
      </c>
      <c r="D51" s="27"/>
      <c r="E51" s="27"/>
      <c r="F51" s="27"/>
      <c r="G51" s="27"/>
      <c r="H51" s="27"/>
      <c r="I51" s="31"/>
      <c r="J51" s="31"/>
      <c r="K51" s="12">
        <f t="shared" si="18"/>
        <v>2707.3799999999997</v>
      </c>
      <c r="L51" s="3">
        <v>42.71</v>
      </c>
      <c r="M51" s="3">
        <v>233.88</v>
      </c>
      <c r="N51" s="2">
        <f t="shared" si="17"/>
        <v>43.739999999999327</v>
      </c>
      <c r="O51" s="2">
        <f t="shared" si="2"/>
        <v>320.3299999999993</v>
      </c>
      <c r="P51" s="18">
        <f t="shared" si="3"/>
        <v>2387.0500000000002</v>
      </c>
      <c r="Q51" s="24"/>
      <c r="R51" s="25">
        <v>2387.0500000000002</v>
      </c>
    </row>
    <row r="52" spans="1:18" x14ac:dyDescent="0.25">
      <c r="A52" s="45">
        <v>47</v>
      </c>
      <c r="B52" s="16" t="s">
        <v>74</v>
      </c>
      <c r="C52" s="14">
        <f>3167.55+31.68</f>
        <v>3199.23</v>
      </c>
      <c r="D52" s="27">
        <v>73.42</v>
      </c>
      <c r="E52" s="27"/>
      <c r="F52" s="27"/>
      <c r="G52" s="27"/>
      <c r="H52" s="27"/>
      <c r="I52" s="31"/>
      <c r="J52" s="31"/>
      <c r="K52" s="12">
        <f t="shared" si="18"/>
        <v>3272.65</v>
      </c>
      <c r="L52" s="3">
        <v>90.84</v>
      </c>
      <c r="M52" s="3">
        <v>301.70999999999998</v>
      </c>
      <c r="N52" s="2">
        <f t="shared" ref="N52" si="22">K52-L52-M52-R52</f>
        <v>38.309999999999945</v>
      </c>
      <c r="O52" s="2">
        <f t="shared" ref="O52" si="23">SUM(L52:N52)</f>
        <v>430.8599999999999</v>
      </c>
      <c r="P52" s="18">
        <f t="shared" ref="P52" si="24">SUM(K52-O52)</f>
        <v>2841.79</v>
      </c>
      <c r="Q52" s="24"/>
      <c r="R52" s="25">
        <v>2841.79</v>
      </c>
    </row>
    <row r="53" spans="1:18" x14ac:dyDescent="0.25">
      <c r="A53" s="45">
        <v>48</v>
      </c>
      <c r="B53" s="16" t="s">
        <v>35</v>
      </c>
      <c r="C53" s="14">
        <f>10091.98+4662.5</f>
        <v>14754.48</v>
      </c>
      <c r="D53" s="27">
        <v>4036.79</v>
      </c>
      <c r="E53" s="27"/>
      <c r="F53" s="27">
        <f>807.36+2018.4+932.5+1252.75</f>
        <v>5011.01</v>
      </c>
      <c r="G53" s="27"/>
      <c r="H53" s="27"/>
      <c r="I53" s="31"/>
      <c r="J53" s="31"/>
      <c r="K53" s="12">
        <f t="shared" si="18"/>
        <v>23802.28</v>
      </c>
      <c r="L53" s="3">
        <f>4166.17+327.7</f>
        <v>4493.87</v>
      </c>
      <c r="M53" s="3">
        <v>828.38</v>
      </c>
      <c r="N53" s="2">
        <f t="shared" si="17"/>
        <v>6954.8499999999985</v>
      </c>
      <c r="O53" s="2">
        <f t="shared" si="2"/>
        <v>12277.099999999999</v>
      </c>
      <c r="P53" s="18">
        <f>SUM(K53-O53)+H53</f>
        <v>11525.18</v>
      </c>
      <c r="Q53" s="24"/>
      <c r="R53" s="25">
        <v>11525.18</v>
      </c>
    </row>
    <row r="54" spans="1:18" x14ac:dyDescent="0.25">
      <c r="A54" s="45">
        <v>49</v>
      </c>
      <c r="B54" s="16" t="s">
        <v>36</v>
      </c>
      <c r="C54" s="14">
        <f>2944.68+883.41</f>
        <v>3828.0899999999997</v>
      </c>
      <c r="D54" s="27"/>
      <c r="E54" s="27"/>
      <c r="F54" s="27">
        <f>1704.82+511.45+738.76</f>
        <v>2955.0299999999997</v>
      </c>
      <c r="G54" s="27"/>
      <c r="H54" s="27"/>
      <c r="I54" s="31"/>
      <c r="J54" s="31"/>
      <c r="K54" s="12">
        <f t="shared" si="18"/>
        <v>6783.119999999999</v>
      </c>
      <c r="L54" s="3">
        <f>112.64+44.84</f>
        <v>157.48000000000002</v>
      </c>
      <c r="M54" s="3">
        <f>522.21+263.6</f>
        <v>785.81000000000006</v>
      </c>
      <c r="N54" s="2">
        <f t="shared" si="17"/>
        <v>4333.2299999999996</v>
      </c>
      <c r="O54" s="2">
        <f t="shared" si="2"/>
        <v>5276.5199999999995</v>
      </c>
      <c r="P54" s="18">
        <f t="shared" si="3"/>
        <v>1506.5999999999995</v>
      </c>
      <c r="Q54" s="24"/>
      <c r="R54" s="25">
        <v>1506.6</v>
      </c>
    </row>
    <row r="55" spans="1:18" x14ac:dyDescent="0.25">
      <c r="A55" s="45">
        <v>50</v>
      </c>
      <c r="B55" s="16" t="s">
        <v>61</v>
      </c>
      <c r="C55" s="14">
        <f>3168.53+95.06</f>
        <v>3263.59</v>
      </c>
      <c r="D55" s="27"/>
      <c r="E55" s="27"/>
      <c r="F55" s="27">
        <f>1584.26+47.53+543.93</f>
        <v>2175.7199999999998</v>
      </c>
      <c r="G55" s="27"/>
      <c r="H55" s="27"/>
      <c r="I55" s="31"/>
      <c r="J55" s="31"/>
      <c r="K55" s="12">
        <f>SUM(C55:I55)</f>
        <v>5439.3099999999995</v>
      </c>
      <c r="L55" s="3">
        <v>71.73</v>
      </c>
      <c r="M55" s="3">
        <f>420.04+177.63</f>
        <v>597.67000000000007</v>
      </c>
      <c r="N55" s="2">
        <f t="shared" ref="N55" si="25">K55-L55-M55-R55</f>
        <v>3120.33</v>
      </c>
      <c r="O55" s="2">
        <f t="shared" ref="O55" si="26">SUM(L55:N55)</f>
        <v>3789.73</v>
      </c>
      <c r="P55" s="18">
        <f t="shared" ref="P55" si="27">SUM(K55-O55)</f>
        <v>1649.5799999999995</v>
      </c>
      <c r="Q55" s="24"/>
      <c r="R55" s="25">
        <v>1649.58</v>
      </c>
    </row>
    <row r="56" spans="1:18" ht="15.75" thickBot="1" x14ac:dyDescent="0.3">
      <c r="A56" s="45">
        <v>51</v>
      </c>
      <c r="B56" s="17" t="s">
        <v>37</v>
      </c>
      <c r="C56" s="15">
        <f>9306.78+1824.13</f>
        <v>11130.91</v>
      </c>
      <c r="D56" s="29">
        <v>3722.71</v>
      </c>
      <c r="E56" s="29"/>
      <c r="F56" s="29"/>
      <c r="G56" s="29"/>
      <c r="H56" s="29"/>
      <c r="I56" s="32">
        <v>4009.77</v>
      </c>
      <c r="J56" s="32"/>
      <c r="K56" s="13">
        <f>SUM(C56:J56)</f>
        <v>18863.39</v>
      </c>
      <c r="L56" s="10">
        <v>4038.13</v>
      </c>
      <c r="M56" s="10">
        <v>828.38</v>
      </c>
      <c r="N56" s="11">
        <f t="shared" si="17"/>
        <v>69.909999999999854</v>
      </c>
      <c r="O56" s="11">
        <f t="shared" si="2"/>
        <v>4936.42</v>
      </c>
      <c r="P56" s="19">
        <f t="shared" si="3"/>
        <v>13926.97</v>
      </c>
      <c r="Q56" s="24"/>
      <c r="R56" s="25">
        <v>13926.97</v>
      </c>
    </row>
    <row r="57" spans="1:18" ht="15.75" thickBot="1" x14ac:dyDescent="0.3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8" x14ac:dyDescent="0.25">
      <c r="B58" s="49" t="s">
        <v>79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1"/>
    </row>
    <row r="59" spans="1:18" x14ac:dyDescent="0.25">
      <c r="B59" s="53" t="s">
        <v>76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5"/>
    </row>
    <row r="60" spans="1:18" ht="5.25" customHeight="1" x14ac:dyDescent="0.25">
      <c r="B60" s="69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1"/>
    </row>
    <row r="61" spans="1:18" x14ac:dyDescent="0.25">
      <c r="B61" s="72" t="s">
        <v>70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4"/>
    </row>
    <row r="62" spans="1:18" x14ac:dyDescent="0.25">
      <c r="B62" s="69" t="s">
        <v>67</v>
      </c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1"/>
    </row>
    <row r="63" spans="1:18" x14ac:dyDescent="0.25">
      <c r="B63" s="69" t="s">
        <v>68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1"/>
    </row>
    <row r="64" spans="1:18" x14ac:dyDescent="0.25">
      <c r="B64" s="69" t="s">
        <v>69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1"/>
    </row>
    <row r="65" spans="2:16" ht="15.75" thickBot="1" x14ac:dyDescent="0.3">
      <c r="B65" s="66" t="s">
        <v>77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8"/>
    </row>
    <row r="66" spans="2:16" x14ac:dyDescent="0.2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2:16" x14ac:dyDescent="0.25">
      <c r="B67" s="6"/>
      <c r="C67" s="5"/>
      <c r="D67" s="5"/>
      <c r="E67" s="5"/>
      <c r="F67" s="5"/>
      <c r="G67" s="5"/>
      <c r="H67" s="5"/>
      <c r="I67" s="5"/>
      <c r="J67" s="5"/>
      <c r="K67" s="46"/>
      <c r="L67" s="5"/>
      <c r="M67" s="5"/>
      <c r="N67" s="5"/>
      <c r="O67" s="46"/>
      <c r="P67" s="5"/>
    </row>
    <row r="68" spans="2:16" x14ac:dyDescent="0.25">
      <c r="B68" s="4"/>
      <c r="C68" s="4"/>
      <c r="D68" s="4"/>
      <c r="E68" s="4"/>
      <c r="F68" s="4"/>
      <c r="G68" s="4"/>
      <c r="H68" s="4"/>
      <c r="I68" s="4"/>
      <c r="J68" s="4"/>
      <c r="K68" s="48"/>
      <c r="L68" s="48"/>
      <c r="M68" s="48"/>
      <c r="N68" s="48"/>
      <c r="O68" s="48"/>
      <c r="P68" s="48"/>
    </row>
    <row r="69" spans="2:16" x14ac:dyDescent="0.25">
      <c r="K69" s="1"/>
      <c r="O69" s="1"/>
      <c r="P69" s="1"/>
    </row>
    <row r="71" spans="2:16" x14ac:dyDescent="0.25">
      <c r="K71" s="1"/>
      <c r="O71" s="1"/>
    </row>
    <row r="72" spans="2:16" x14ac:dyDescent="0.25">
      <c r="K72" s="1"/>
      <c r="L72" s="1"/>
      <c r="M72" s="1"/>
      <c r="N72" s="1"/>
      <c r="P72" s="1"/>
    </row>
  </sheetData>
  <mergeCells count="19">
    <mergeCell ref="B65:P65"/>
    <mergeCell ref="B60:P60"/>
    <mergeCell ref="B61:P61"/>
    <mergeCell ref="B62:P62"/>
    <mergeCell ref="B64:P64"/>
    <mergeCell ref="B63:P63"/>
    <mergeCell ref="B58:P58"/>
    <mergeCell ref="B57:P57"/>
    <mergeCell ref="B59:P59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2022-12-01T12:29:32Z</cp:lastPrinted>
  <dcterms:created xsi:type="dcterms:W3CDTF">2016-04-28T12:49:34Z</dcterms:created>
  <dcterms:modified xsi:type="dcterms:W3CDTF">2022-12-01T12:30:17Z</dcterms:modified>
</cp:coreProperties>
</file>