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9 - SETEMBRO\"/>
    </mc:Choice>
  </mc:AlternateContent>
  <xr:revisionPtr revIDLastSave="0" documentId="13_ncr:1_{BBACEA90-30F5-4E61-89DD-AE1724C68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6" l="1"/>
  <c r="C54" i="6"/>
  <c r="C53" i="6"/>
  <c r="C51" i="6"/>
  <c r="M50" i="6"/>
  <c r="L50" i="6"/>
  <c r="F50" i="6"/>
  <c r="C50" i="6"/>
  <c r="C48" i="6"/>
  <c r="M47" i="6"/>
  <c r="L47" i="6"/>
  <c r="F47" i="6"/>
  <c r="C47" i="6"/>
  <c r="C46" i="6"/>
  <c r="C42" i="6"/>
  <c r="M41" i="6"/>
  <c r="F41" i="6"/>
  <c r="C41" i="6"/>
  <c r="M36" i="6"/>
  <c r="L36" i="6"/>
  <c r="F36" i="6"/>
  <c r="D36" i="6"/>
  <c r="C36" i="6"/>
  <c r="C31" i="6"/>
  <c r="M30" i="6"/>
  <c r="F30" i="6"/>
  <c r="C30" i="6"/>
  <c r="C24" i="6"/>
  <c r="F24" i="6"/>
  <c r="M20" i="6"/>
  <c r="G20" i="6"/>
  <c r="F20" i="6"/>
  <c r="C20" i="6"/>
  <c r="M16" i="6"/>
  <c r="F16" i="6"/>
  <c r="C16" i="6"/>
  <c r="M10" i="6"/>
  <c r="L10" i="6"/>
  <c r="F10" i="6"/>
  <c r="C10" i="6"/>
  <c r="C9" i="6"/>
  <c r="C8" i="6"/>
  <c r="F8" i="6"/>
  <c r="C58" i="6"/>
  <c r="C49" i="6"/>
  <c r="C45" i="6"/>
  <c r="C43" i="6"/>
  <c r="C35" i="6"/>
  <c r="C34" i="6"/>
  <c r="M27" i="6"/>
  <c r="C19" i="6" l="1"/>
  <c r="D14" i="6"/>
  <c r="M49" i="6"/>
  <c r="M46" i="6"/>
  <c r="C44" i="6"/>
  <c r="C21" i="6"/>
  <c r="C55" i="6"/>
  <c r="K54" i="6"/>
  <c r="C52" i="6"/>
  <c r="M44" i="6"/>
  <c r="M43" i="6"/>
  <c r="C40" i="6"/>
  <c r="C39" i="6"/>
  <c r="C37" i="6"/>
  <c r="M34" i="6"/>
  <c r="C33" i="6"/>
  <c r="C32" i="6"/>
  <c r="C26" i="6"/>
  <c r="C22" i="6"/>
  <c r="C15" i="6"/>
  <c r="C14" i="6"/>
  <c r="C13" i="6"/>
  <c r="K58" i="6" l="1"/>
  <c r="K43" i="6"/>
  <c r="N54" i="6"/>
  <c r="O54" i="6" s="1"/>
  <c r="P54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2" i="6" l="1"/>
  <c r="K45" i="6"/>
  <c r="K44" i="6"/>
  <c r="K42" i="6"/>
  <c r="K35" i="6"/>
  <c r="K46" i="6"/>
  <c r="K48" i="6"/>
  <c r="K49" i="6"/>
  <c r="K50" i="6"/>
  <c r="K51" i="6"/>
  <c r="K53" i="6"/>
  <c r="K55" i="6"/>
  <c r="K56" i="6"/>
  <c r="K57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7" i="6" l="1"/>
  <c r="O57" i="6" s="1"/>
  <c r="P57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1" i="6" l="1"/>
  <c r="O51" i="6" s="1"/>
  <c r="P51" i="6" s="1"/>
  <c r="N25" i="6"/>
  <c r="O25" i="6" s="1"/>
  <c r="P25" i="6" s="1"/>
  <c r="N15" i="6" l="1"/>
  <c r="O15" i="6" s="1"/>
  <c r="P15" i="6" s="1"/>
  <c r="N12" i="6" l="1"/>
  <c r="O12" i="6" s="1"/>
  <c r="P12" i="6" s="1"/>
  <c r="N58" i="6"/>
  <c r="O58" i="6" s="1"/>
  <c r="P58" i="6" s="1"/>
  <c r="N53" i="6"/>
  <c r="O53" i="6" s="1"/>
  <c r="N50" i="6"/>
  <c r="O50" i="6" s="1"/>
  <c r="P50" i="6" s="1"/>
  <c r="N49" i="6"/>
  <c r="O49" i="6" s="1"/>
  <c r="P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6" i="6"/>
  <c r="O56" i="6" s="1"/>
  <c r="P56" i="6" s="1"/>
  <c r="N16" i="6"/>
  <c r="O16" i="6" s="1"/>
  <c r="P16" i="6" s="1"/>
  <c r="N52" i="6"/>
  <c r="O52" i="6" s="1"/>
  <c r="P52" i="6" s="1"/>
  <c r="N46" i="6"/>
  <c r="O46" i="6" s="1"/>
  <c r="P46" i="6" s="1"/>
  <c r="N47" i="6"/>
  <c r="O47" i="6" s="1"/>
  <c r="P47" i="6" s="1"/>
  <c r="N55" i="6"/>
  <c r="O55" i="6" s="1"/>
  <c r="P55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53" i="6"/>
  <c r="O8" i="6" l="1"/>
  <c r="P8" i="6" l="1"/>
</calcChain>
</file>

<file path=xl/sharedStrings.xml><?xml version="1.0" encoding="utf-8"?>
<sst xmlns="http://schemas.openxmlformats.org/spreadsheetml/2006/main" count="85" uniqueCount="83">
  <si>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</si>
  <si>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</si>
  <si>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</si>
  <si>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</si>
  <si>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</si>
  <si>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</si>
  <si>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</si>
  <si>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</si>
  <si>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</si>
  <si>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</si>
  <si>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</si>
  <si>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</si>
  <si>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</si>
  <si>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</si>
  <si>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</si>
  <si>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</si>
  <si>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</si>
  <si>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</si>
  <si>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</si>
  <si>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</si>
  <si>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</si>
  <si>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</si>
  <si>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</si>
  <si>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</si>
  <si>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</si>
  <si>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</si>
  <si>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</si>
  <si>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</si>
  <si>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</si>
  <si>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</si>
  <si>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</si>
  <si>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</si>
  <si>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</si>
  <si>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</si>
  <si>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</si>
  <si>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</si>
  <si>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</si>
  <si>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</si>
  <si>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</si>
  <si>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</si>
  <si>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</si>
  <si>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</si>
  <si>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</si>
  <si>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</si>
  <si>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</si>
  <si>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</si>
  <si>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</si>
  <si>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</si>
  <si>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</si>
  <si>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</si>
  <si>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</si>
  <si>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</si>
  <si>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</si>
  <si>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</si>
  <si>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</si>
  <si>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</si>
  <si>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</si>
  <si>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</si>
  <si>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</si>
  <si>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</si>
  <si>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</si>
  <si>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</si>
  <si>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</si>
  <si>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</si>
  <si>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</si>
  <si>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</si>
  <si>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</si>
  <si>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</si>
  <si>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</si>
  <si>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</si>
  <si>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</si>
  <si>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</si>
  <si>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</si>
  <si>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</si>
  <si>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</si>
  <si>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</si>
  <si>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</si>
  <si>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</si>
  <si>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</si>
  <si>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</si>
  <si>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</si>
  <si>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SETEMBRO/2022</t>
  </si>
  <si>
    <r>
      <t xml:space="preserve">GUSTAVO ELIAS MUENZ </t>
    </r>
    <r>
      <rPr>
        <b/>
        <i/>
        <sz val="11"/>
        <color theme="1"/>
        <rFont val="Calibri"/>
        <family val="2"/>
        <scheme val="minor"/>
      </rPr>
      <t>(RESCISÃO EM 01/09/22)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</si>
</sst>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K71" sqref="K71:P71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51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33" t="s">
        <v>81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49</v>
      </c>
      <c r="C5" s="68" t="s">
        <v>39</v>
      </c>
      <c r="D5" s="72" t="s">
        <v>63</v>
      </c>
      <c r="E5" s="68" t="s">
        <v>40</v>
      </c>
      <c r="F5" s="68" t="s">
        <v>64</v>
      </c>
      <c r="G5" s="41" t="s">
        <v>65</v>
      </c>
      <c r="H5" s="42" t="s">
        <v>67</v>
      </c>
      <c r="I5" s="20" t="s">
        <v>52</v>
      </c>
      <c r="J5" s="8" t="s">
        <v>72</v>
      </c>
      <c r="K5" s="20" t="s">
        <v>41</v>
      </c>
      <c r="L5" s="70" t="s">
        <v>43</v>
      </c>
      <c r="M5" s="68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67"/>
      <c r="C6" s="69"/>
      <c r="D6" s="73"/>
      <c r="E6" s="69"/>
      <c r="F6" s="69"/>
      <c r="G6" s="43" t="s">
        <v>66</v>
      </c>
      <c r="H6" s="44" t="s">
        <v>54</v>
      </c>
      <c r="I6" s="21" t="s">
        <v>53</v>
      </c>
      <c r="J6" s="9" t="s">
        <v>73</v>
      </c>
      <c r="K6" s="21" t="s">
        <v>42</v>
      </c>
      <c r="L6" s="71"/>
      <c r="M6" s="69"/>
      <c r="N6" s="21" t="s">
        <v>46</v>
      </c>
      <c r="O6" s="9" t="s">
        <v>46</v>
      </c>
      <c r="P6" s="23" t="s">
        <v>48</v>
      </c>
    </row>
    <row r="7" spans="1:19" x14ac:dyDescent="0.25">
      <c r="A7" s="46">
        <v>1</v>
      </c>
      <c r="B7" s="16" t="s">
        <v>0</v>
      </c>
      <c r="C7" s="14">
        <v>6363.54</v>
      </c>
      <c r="D7" s="27"/>
      <c r="E7" s="27"/>
      <c r="F7" s="27"/>
      <c r="G7" s="27"/>
      <c r="H7" s="27"/>
      <c r="I7" s="30"/>
      <c r="J7" s="30"/>
      <c r="K7" s="12">
        <f t="shared" ref="K7:K14" si="0">SUM(C7:I7)</f>
        <v>6363.54</v>
      </c>
      <c r="L7" s="3">
        <v>680.67</v>
      </c>
      <c r="M7" s="3">
        <v>727.07</v>
      </c>
      <c r="N7" s="2">
        <f t="shared" ref="N7:N13" si="1">K7-L7-M7-R7</f>
        <v>42.050000000000182</v>
      </c>
      <c r="O7" s="2">
        <f t="shared" ref="O7:O58" si="2">SUM(L7:N7)</f>
        <v>1449.7900000000002</v>
      </c>
      <c r="P7" s="18">
        <f t="shared" ref="P7:P58" si="3">SUM(K7-O7)</f>
        <v>4913.75</v>
      </c>
      <c r="Q7" s="24"/>
      <c r="R7" s="25">
        <v>4913.75</v>
      </c>
    </row>
    <row r="8" spans="1:19" x14ac:dyDescent="0.25">
      <c r="A8" s="46">
        <v>2</v>
      </c>
      <c r="B8" s="16" t="s">
        <v>1</v>
      </c>
      <c r="C8" s="14">
        <f>1413.54+113.08+24.35</f>
        <v>1550.9699999999998</v>
      </c>
      <c r="D8" s="27"/>
      <c r="E8" s="27"/>
      <c r="F8" s="27">
        <f>1413.54+113.08+508.87</f>
        <v>2035.4899999999998</v>
      </c>
      <c r="G8" s="27"/>
      <c r="H8" s="27"/>
      <c r="I8" s="30"/>
      <c r="J8" s="30"/>
      <c r="K8" s="12">
        <f t="shared" si="0"/>
        <v>3586.4599999999996</v>
      </c>
      <c r="L8" s="3"/>
      <c r="M8" s="3">
        <v>336.45</v>
      </c>
      <c r="N8" s="2">
        <f t="shared" si="1"/>
        <v>3250.0099999999998</v>
      </c>
      <c r="O8" s="2">
        <f t="shared" si="2"/>
        <v>3586.4599999999996</v>
      </c>
      <c r="P8" s="18">
        <f t="shared" si="3"/>
        <v>0</v>
      </c>
      <c r="Q8" s="24"/>
      <c r="R8" s="25">
        <v>0</v>
      </c>
    </row>
    <row r="9" spans="1:19" x14ac:dyDescent="0.25">
      <c r="A9" s="46">
        <v>3</v>
      </c>
      <c r="B9" s="16" t="s">
        <v>58</v>
      </c>
      <c r="C9" s="14">
        <f>2271.26+149.59</f>
        <v>2420.8500000000004</v>
      </c>
      <c r="D9" s="27">
        <v>1468.47</v>
      </c>
      <c r="E9" s="27"/>
      <c r="F9" s="27"/>
      <c r="G9" s="27"/>
      <c r="H9" s="27"/>
      <c r="I9" s="30"/>
      <c r="J9" s="30"/>
      <c r="K9" s="12">
        <f t="shared" si="0"/>
        <v>3889.3200000000006</v>
      </c>
      <c r="L9" s="3">
        <v>171.5</v>
      </c>
      <c r="M9" s="3">
        <v>380.68</v>
      </c>
      <c r="N9" s="2">
        <f t="shared" si="1"/>
        <v>110.150000000001</v>
      </c>
      <c r="O9" s="2">
        <f t="shared" si="2"/>
        <v>662.33000000000106</v>
      </c>
      <c r="P9" s="18">
        <f t="shared" si="3"/>
        <v>3226.99</v>
      </c>
      <c r="Q9" s="24"/>
      <c r="R9" s="25">
        <v>3226.99</v>
      </c>
    </row>
    <row r="10" spans="1:19" x14ac:dyDescent="0.25">
      <c r="A10" s="46">
        <v>4</v>
      </c>
      <c r="B10" s="16" t="s">
        <v>76</v>
      </c>
      <c r="C10" s="14">
        <f>2174.27+26.09</f>
        <v>2200.36</v>
      </c>
      <c r="D10" s="27">
        <v>434.85</v>
      </c>
      <c r="E10" s="27"/>
      <c r="F10" s="27">
        <f>496.97+2484.87+29.82+1003.89</f>
        <v>4015.55</v>
      </c>
      <c r="G10" s="27"/>
      <c r="H10" s="27"/>
      <c r="I10" s="30"/>
      <c r="J10" s="30"/>
      <c r="K10" s="12">
        <f t="shared" ref="K10" si="4">SUM(C10:I10)</f>
        <v>6650.76</v>
      </c>
      <c r="L10" s="3">
        <f>27.17+187.78</f>
        <v>214.95</v>
      </c>
      <c r="M10" s="3">
        <f>368.93+398.35</f>
        <v>767.28</v>
      </c>
      <c r="N10" s="2">
        <f t="shared" ref="N10" si="5">K10-L10-M10-R10</f>
        <v>3471.4700000000007</v>
      </c>
      <c r="O10" s="2">
        <f t="shared" ref="O10" si="6">SUM(L10:N10)</f>
        <v>4453.7000000000007</v>
      </c>
      <c r="P10" s="18">
        <f t="shared" ref="P10" si="7">SUM(K10-O10)</f>
        <v>2197.0599999999995</v>
      </c>
      <c r="Q10" s="24"/>
      <c r="R10" s="25">
        <v>2197.06</v>
      </c>
    </row>
    <row r="11" spans="1:19" x14ac:dyDescent="0.25">
      <c r="A11" s="46">
        <v>5</v>
      </c>
      <c r="B11" s="16" t="s">
        <v>2</v>
      </c>
      <c r="C11" s="14">
        <v>3302.38</v>
      </c>
      <c r="D11" s="27"/>
      <c r="E11" s="27"/>
      <c r="F11" s="27"/>
      <c r="G11" s="27"/>
      <c r="H11" s="27"/>
      <c r="I11" s="30"/>
      <c r="J11" s="30"/>
      <c r="K11" s="12">
        <f t="shared" si="0"/>
        <v>3302.38</v>
      </c>
      <c r="L11" s="3">
        <v>94.76</v>
      </c>
      <c r="M11" s="3">
        <v>305.27999999999997</v>
      </c>
      <c r="N11" s="2">
        <f t="shared" si="1"/>
        <v>425.09000000000015</v>
      </c>
      <c r="O11" s="2">
        <f t="shared" si="2"/>
        <v>825.13000000000011</v>
      </c>
      <c r="P11" s="18">
        <f>SUM(K11-O11)+H11</f>
        <v>2477.25</v>
      </c>
      <c r="Q11" s="24"/>
      <c r="R11" s="25">
        <v>2477.25</v>
      </c>
      <c r="S11" s="1"/>
    </row>
    <row r="12" spans="1:19" x14ac:dyDescent="0.25">
      <c r="A12" s="46">
        <v>6</v>
      </c>
      <c r="B12" s="16" t="s">
        <v>3</v>
      </c>
      <c r="C12" s="14">
        <v>4404.88</v>
      </c>
      <c r="D12" s="27"/>
      <c r="E12" s="27"/>
      <c r="F12" s="27"/>
      <c r="G12" s="27"/>
      <c r="H12" s="27"/>
      <c r="I12" s="30"/>
      <c r="J12" s="30"/>
      <c r="K12" s="12">
        <f t="shared" si="0"/>
        <v>4404.88</v>
      </c>
      <c r="L12" s="3">
        <v>253.08</v>
      </c>
      <c r="M12" s="3">
        <v>452.85</v>
      </c>
      <c r="N12" s="2">
        <f t="shared" si="1"/>
        <v>973.5600000000004</v>
      </c>
      <c r="O12" s="2">
        <f t="shared" si="2"/>
        <v>1679.4900000000005</v>
      </c>
      <c r="P12" s="18">
        <f t="shared" si="3"/>
        <v>2725.3899999999994</v>
      </c>
      <c r="Q12" s="24"/>
      <c r="R12" s="25">
        <v>2725.39</v>
      </c>
    </row>
    <row r="13" spans="1:19" x14ac:dyDescent="0.25">
      <c r="A13" s="46">
        <v>7</v>
      </c>
      <c r="B13" s="16" t="s">
        <v>74</v>
      </c>
      <c r="C13" s="14">
        <f>4659.14+55.91</f>
        <v>4715.05</v>
      </c>
      <c r="D13" s="27">
        <v>931.83</v>
      </c>
      <c r="E13" s="27"/>
      <c r="F13" s="27"/>
      <c r="G13" s="27"/>
      <c r="H13" s="27"/>
      <c r="I13" s="30"/>
      <c r="J13" s="30"/>
      <c r="K13" s="12">
        <f t="shared" si="0"/>
        <v>5646.88</v>
      </c>
      <c r="L13" s="3">
        <v>511.18</v>
      </c>
      <c r="M13" s="3">
        <v>626.73</v>
      </c>
      <c r="N13" s="2">
        <f t="shared" si="1"/>
        <v>6.8299999999990177</v>
      </c>
      <c r="O13" s="2">
        <f t="shared" si="2"/>
        <v>1144.7399999999991</v>
      </c>
      <c r="P13" s="18">
        <f t="shared" si="3"/>
        <v>4502.1400000000012</v>
      </c>
      <c r="Q13" s="24"/>
      <c r="R13" s="25">
        <v>4502.1400000000003</v>
      </c>
    </row>
    <row r="14" spans="1:19" x14ac:dyDescent="0.25">
      <c r="A14" s="46">
        <v>8</v>
      </c>
      <c r="B14" s="16" t="s">
        <v>4</v>
      </c>
      <c r="C14" s="14">
        <f>13962.05+7330.08</f>
        <v>21292.129999999997</v>
      </c>
      <c r="D14" s="27">
        <f>1396.21+5584.82</f>
        <v>6981.03</v>
      </c>
      <c r="E14" s="27"/>
      <c r="F14" s="27"/>
      <c r="G14" s="27"/>
      <c r="H14" s="27"/>
      <c r="I14" s="30"/>
      <c r="J14" s="30"/>
      <c r="K14" s="12">
        <f t="shared" si="0"/>
        <v>28273.159999999996</v>
      </c>
      <c r="L14" s="3">
        <v>6677.95</v>
      </c>
      <c r="M14" s="3">
        <v>828.38</v>
      </c>
      <c r="N14" s="2">
        <f>K14-L14-M14-R14</f>
        <v>320.60999999999331</v>
      </c>
      <c r="O14" s="2">
        <f t="shared" si="2"/>
        <v>7826.9399999999932</v>
      </c>
      <c r="P14" s="18">
        <f t="shared" si="3"/>
        <v>20446.22</v>
      </c>
      <c r="Q14" s="24"/>
      <c r="R14" s="25">
        <v>20446.22</v>
      </c>
    </row>
    <row r="15" spans="1:19" x14ac:dyDescent="0.25">
      <c r="A15" s="46">
        <v>9</v>
      </c>
      <c r="B15" s="16" t="s">
        <v>5</v>
      </c>
      <c r="C15" s="14">
        <f>13962.05+4495.78</f>
        <v>18457.829999999998</v>
      </c>
      <c r="D15" s="27">
        <v>5584.82</v>
      </c>
      <c r="E15" s="27"/>
      <c r="F15" s="27"/>
      <c r="G15" s="27"/>
      <c r="H15" s="27"/>
      <c r="I15" s="30"/>
      <c r="J15" s="30"/>
      <c r="K15" s="12">
        <f t="shared" ref="K15:K31" si="8">SUM(C15:I15)</f>
        <v>24042.649999999998</v>
      </c>
      <c r="L15" s="3">
        <v>5514.56</v>
      </c>
      <c r="M15" s="3">
        <v>828.38</v>
      </c>
      <c r="N15" s="2">
        <f t="shared" ref="N15:N40" si="9">K15-L15-M15-R15</f>
        <v>108.18999999999505</v>
      </c>
      <c r="O15" s="2">
        <f t="shared" si="2"/>
        <v>6451.1299999999956</v>
      </c>
      <c r="P15" s="18">
        <f t="shared" si="3"/>
        <v>17591.520000000004</v>
      </c>
      <c r="Q15" s="24"/>
      <c r="R15" s="25">
        <v>17591.52</v>
      </c>
    </row>
    <row r="16" spans="1:19" x14ac:dyDescent="0.25">
      <c r="A16" s="46">
        <v>10</v>
      </c>
      <c r="B16" s="16" t="s">
        <v>6</v>
      </c>
      <c r="C16" s="14">
        <f>2309.48+207.85</f>
        <v>2517.33</v>
      </c>
      <c r="D16" s="27"/>
      <c r="E16" s="27"/>
      <c r="F16" s="45">
        <f>461.9+41.57+167.82</f>
        <v>671.29</v>
      </c>
      <c r="G16" s="4"/>
      <c r="H16" s="27"/>
      <c r="I16" s="30"/>
      <c r="J16" s="30"/>
      <c r="K16" s="12">
        <f t="shared" si="8"/>
        <v>3188.62</v>
      </c>
      <c r="L16" s="3">
        <v>27.9</v>
      </c>
      <c r="M16" s="3">
        <f>241.29+50.34</f>
        <v>291.63</v>
      </c>
      <c r="N16" s="2">
        <f t="shared" si="9"/>
        <v>641.91999999999962</v>
      </c>
      <c r="O16" s="2">
        <f t="shared" si="2"/>
        <v>961.44999999999959</v>
      </c>
      <c r="P16" s="18">
        <f t="shared" si="3"/>
        <v>2227.17</v>
      </c>
      <c r="Q16" s="24"/>
      <c r="R16" s="25">
        <v>2227.17</v>
      </c>
    </row>
    <row r="17" spans="1:18" x14ac:dyDescent="0.25">
      <c r="A17" s="46">
        <v>11</v>
      </c>
      <c r="B17" s="16" t="s">
        <v>7</v>
      </c>
      <c r="C17" s="14">
        <v>2831.32</v>
      </c>
      <c r="D17" s="27"/>
      <c r="E17" s="27"/>
      <c r="F17" s="27"/>
      <c r="G17" s="27"/>
      <c r="H17" s="27"/>
      <c r="I17" s="30"/>
      <c r="J17" s="30"/>
      <c r="K17" s="12">
        <f t="shared" si="8"/>
        <v>2831.32</v>
      </c>
      <c r="L17" s="3">
        <v>50.89</v>
      </c>
      <c r="M17" s="3">
        <v>248.75</v>
      </c>
      <c r="N17" s="2">
        <f t="shared" si="9"/>
        <v>425.60000000000036</v>
      </c>
      <c r="O17" s="2">
        <f t="shared" si="2"/>
        <v>725.24000000000035</v>
      </c>
      <c r="P17" s="18">
        <f t="shared" si="3"/>
        <v>2106.08</v>
      </c>
      <c r="Q17" s="24"/>
      <c r="R17" s="25">
        <v>2106.08</v>
      </c>
    </row>
    <row r="18" spans="1:18" x14ac:dyDescent="0.25">
      <c r="A18" s="46">
        <v>12</v>
      </c>
      <c r="B18" s="16" t="s">
        <v>61</v>
      </c>
      <c r="C18" s="14">
        <v>3328.15</v>
      </c>
      <c r="D18" s="27">
        <v>146.84</v>
      </c>
      <c r="E18" s="27"/>
      <c r="F18" s="27"/>
      <c r="G18" s="27"/>
      <c r="H18" s="27"/>
      <c r="I18" s="30"/>
      <c r="J18" s="30"/>
      <c r="K18" s="12">
        <f t="shared" si="8"/>
        <v>3474.9900000000002</v>
      </c>
      <c r="L18" s="3">
        <v>89.11</v>
      </c>
      <c r="M18" s="3">
        <v>325.99</v>
      </c>
      <c r="N18" s="2">
        <f t="shared" si="9"/>
        <v>7.1100000000001273</v>
      </c>
      <c r="O18" s="2">
        <f t="shared" si="2"/>
        <v>422.21000000000015</v>
      </c>
      <c r="P18" s="18">
        <f t="shared" si="3"/>
        <v>3052.78</v>
      </c>
      <c r="Q18" s="24"/>
      <c r="R18" s="25">
        <v>3052.78</v>
      </c>
    </row>
    <row r="19" spans="1:18" x14ac:dyDescent="0.25">
      <c r="A19" s="46">
        <v>13</v>
      </c>
      <c r="B19" s="16" t="s">
        <v>8</v>
      </c>
      <c r="C19" s="14">
        <f>5915.87+1327.92</f>
        <v>7243.79</v>
      </c>
      <c r="D19" s="27">
        <v>2936.92</v>
      </c>
      <c r="E19" s="27"/>
      <c r="F19" s="27"/>
      <c r="G19" s="27"/>
      <c r="H19" s="27"/>
      <c r="I19" s="30"/>
      <c r="J19" s="30"/>
      <c r="K19" s="12">
        <f t="shared" si="8"/>
        <v>10180.709999999999</v>
      </c>
      <c r="L19" s="3">
        <v>1546.12</v>
      </c>
      <c r="M19" s="3">
        <v>828.38</v>
      </c>
      <c r="N19" s="2">
        <f t="shared" si="9"/>
        <v>563.86999999999989</v>
      </c>
      <c r="O19" s="2">
        <f t="shared" si="2"/>
        <v>2938.37</v>
      </c>
      <c r="P19" s="18">
        <f t="shared" si="3"/>
        <v>7242.3399999999992</v>
      </c>
      <c r="Q19" s="24"/>
      <c r="R19" s="25">
        <v>7242.34</v>
      </c>
    </row>
    <row r="20" spans="1:18" x14ac:dyDescent="0.25">
      <c r="A20" s="46">
        <v>14</v>
      </c>
      <c r="B20" s="16" t="s">
        <v>9</v>
      </c>
      <c r="C20" s="14">
        <f>2309.48+230.95</f>
        <v>2540.4299999999998</v>
      </c>
      <c r="D20" s="27"/>
      <c r="E20" s="27"/>
      <c r="F20" s="27">
        <f>461.9+46.19+169.36</f>
        <v>677.45</v>
      </c>
      <c r="G20" s="27">
        <f>923.79+92.38+338.72</f>
        <v>1354.8899999999999</v>
      </c>
      <c r="H20" s="27"/>
      <c r="I20" s="30"/>
      <c r="J20" s="30"/>
      <c r="K20" s="12">
        <f t="shared" si="8"/>
        <v>4572.7700000000004</v>
      </c>
      <c r="L20" s="3">
        <v>29.41</v>
      </c>
      <c r="M20" s="3">
        <f>244.34+50.8</f>
        <v>295.14</v>
      </c>
      <c r="N20" s="2">
        <f t="shared" si="9"/>
        <v>1987.5400000000004</v>
      </c>
      <c r="O20" s="2">
        <f t="shared" si="2"/>
        <v>2312.0900000000006</v>
      </c>
      <c r="P20" s="18">
        <f t="shared" si="3"/>
        <v>2260.6799999999998</v>
      </c>
      <c r="Q20" s="24"/>
      <c r="R20" s="25">
        <v>2260.6799999999998</v>
      </c>
    </row>
    <row r="21" spans="1:18" x14ac:dyDescent="0.25">
      <c r="A21" s="46">
        <v>15</v>
      </c>
      <c r="B21" s="16" t="s">
        <v>10</v>
      </c>
      <c r="C21" s="14">
        <f>15270.08+9330.02</f>
        <v>24600.1</v>
      </c>
      <c r="D21" s="27">
        <v>20614.61</v>
      </c>
      <c r="E21" s="27"/>
      <c r="F21" s="27"/>
      <c r="G21" s="27"/>
      <c r="H21" s="27"/>
      <c r="I21" s="30"/>
      <c r="J21" s="30"/>
      <c r="K21" s="12">
        <f t="shared" si="8"/>
        <v>45214.71</v>
      </c>
      <c r="L21" s="3">
        <v>9708.5</v>
      </c>
      <c r="M21" s="3">
        <v>828.38</v>
      </c>
      <c r="N21" s="2">
        <f t="shared" si="9"/>
        <v>6226.3900000000031</v>
      </c>
      <c r="O21" s="2">
        <f t="shared" si="2"/>
        <v>16763.270000000004</v>
      </c>
      <c r="P21" s="18">
        <f t="shared" si="3"/>
        <v>28451.439999999995</v>
      </c>
      <c r="Q21" s="24"/>
      <c r="R21" s="25">
        <v>28451.439999999999</v>
      </c>
    </row>
    <row r="22" spans="1:18" x14ac:dyDescent="0.25">
      <c r="A22" s="46">
        <v>16</v>
      </c>
      <c r="B22" s="16" t="s">
        <v>11</v>
      </c>
      <c r="C22" s="14">
        <f>13962.05+4691.25</f>
        <v>18653.3</v>
      </c>
      <c r="D22" s="27">
        <v>2792.41</v>
      </c>
      <c r="E22" s="27"/>
      <c r="F22" s="27"/>
      <c r="G22" s="27"/>
      <c r="H22" s="27"/>
      <c r="I22" s="30"/>
      <c r="J22" s="30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2331.7299999999996</v>
      </c>
      <c r="O22" s="2">
        <f t="shared" si="2"/>
        <v>7908.38</v>
      </c>
      <c r="P22" s="18">
        <f t="shared" si="3"/>
        <v>13537.329999999998</v>
      </c>
      <c r="Q22" s="24"/>
      <c r="R22" s="25">
        <v>13537.33</v>
      </c>
    </row>
    <row r="23" spans="1:18" x14ac:dyDescent="0.25">
      <c r="A23" s="46">
        <v>17</v>
      </c>
      <c r="B23" s="16" t="s">
        <v>12</v>
      </c>
      <c r="C23" s="14">
        <v>7617.74</v>
      </c>
      <c r="D23" s="27"/>
      <c r="E23" s="27"/>
      <c r="F23" s="27"/>
      <c r="G23" s="27"/>
      <c r="H23" s="27"/>
      <c r="I23" s="30"/>
      <c r="J23" s="30"/>
      <c r="K23" s="12">
        <f t="shared" si="8"/>
        <v>7617.74</v>
      </c>
      <c r="L23" s="3">
        <v>893.44</v>
      </c>
      <c r="M23" s="3">
        <v>828.38</v>
      </c>
      <c r="N23" s="2">
        <f t="shared" si="9"/>
        <v>1977.1099999999992</v>
      </c>
      <c r="O23" s="2">
        <f t="shared" si="2"/>
        <v>3698.9299999999994</v>
      </c>
      <c r="P23" s="18">
        <f t="shared" si="3"/>
        <v>3918.8100000000004</v>
      </c>
      <c r="Q23" s="24"/>
      <c r="R23" s="25">
        <v>3918.81</v>
      </c>
    </row>
    <row r="24" spans="1:18" x14ac:dyDescent="0.25">
      <c r="A24" s="46">
        <v>18</v>
      </c>
      <c r="B24" s="16" t="s">
        <v>82</v>
      </c>
      <c r="C24" s="14">
        <f>72.75+0.73</f>
        <v>73.48</v>
      </c>
      <c r="D24" s="27">
        <v>73.42</v>
      </c>
      <c r="E24" s="27"/>
      <c r="F24" s="27">
        <f>2020.75+673.58</f>
        <v>2694.33</v>
      </c>
      <c r="G24" s="27"/>
      <c r="H24" s="27">
        <v>1469.64</v>
      </c>
      <c r="I24" s="30"/>
      <c r="J24" s="30"/>
      <c r="K24" s="12">
        <f t="shared" si="8"/>
        <v>4310.87</v>
      </c>
      <c r="L24" s="3"/>
      <c r="M24" s="3">
        <v>125.09</v>
      </c>
      <c r="N24" s="2">
        <f t="shared" ref="N24" si="10">K24-L24-M24-R24</f>
        <v>981.48999999999978</v>
      </c>
      <c r="O24" s="2">
        <f t="shared" ref="O24" si="11">SUM(L24:N24)</f>
        <v>1106.5799999999997</v>
      </c>
      <c r="P24" s="18">
        <f t="shared" ref="P24" si="12">SUM(K24-O24)</f>
        <v>3204.29</v>
      </c>
      <c r="Q24" s="24"/>
      <c r="R24" s="25">
        <v>3204.29</v>
      </c>
    </row>
    <row r="25" spans="1:18" x14ac:dyDescent="0.25">
      <c r="A25" s="46">
        <v>19</v>
      </c>
      <c r="B25" s="16" t="s">
        <v>55</v>
      </c>
      <c r="C25" s="14">
        <v>3530.53</v>
      </c>
      <c r="D25" s="27"/>
      <c r="E25" s="27"/>
      <c r="F25" s="27"/>
      <c r="G25" s="27"/>
      <c r="H25" s="27"/>
      <c r="I25" s="30"/>
      <c r="J25" s="30"/>
      <c r="K25" s="12">
        <f t="shared" si="8"/>
        <v>3530.53</v>
      </c>
      <c r="L25" s="3">
        <v>124.88</v>
      </c>
      <c r="M25" s="3">
        <v>332.66</v>
      </c>
      <c r="N25" s="2">
        <f t="shared" si="9"/>
        <v>38.3100000000004</v>
      </c>
      <c r="O25" s="2">
        <f t="shared" si="2"/>
        <v>495.85000000000042</v>
      </c>
      <c r="P25" s="18">
        <f t="shared" si="3"/>
        <v>3034.68</v>
      </c>
      <c r="Q25" s="24"/>
      <c r="R25" s="25">
        <v>3034.68</v>
      </c>
    </row>
    <row r="26" spans="1:18" x14ac:dyDescent="0.25">
      <c r="A26" s="46">
        <v>20</v>
      </c>
      <c r="B26" s="16" t="s">
        <v>79</v>
      </c>
      <c r="C26" s="14">
        <f>13962.05+4691.25</f>
        <v>18653.3</v>
      </c>
      <c r="D26" s="27">
        <v>2792.41</v>
      </c>
      <c r="E26" s="27"/>
      <c r="F26" s="27"/>
      <c r="G26" s="27"/>
      <c r="H26" s="27"/>
      <c r="I26" s="30"/>
      <c r="J26" s="30"/>
      <c r="K26" s="12">
        <f t="shared" si="8"/>
        <v>21445.71</v>
      </c>
      <c r="L26" s="3">
        <v>4748.2700000000004</v>
      </c>
      <c r="M26" s="3">
        <v>828.38</v>
      </c>
      <c r="N26" s="2">
        <f t="shared" si="9"/>
        <v>5073.49</v>
      </c>
      <c r="O26" s="2">
        <f t="shared" si="2"/>
        <v>10650.14</v>
      </c>
      <c r="P26" s="18">
        <f t="shared" si="3"/>
        <v>10795.57</v>
      </c>
      <c r="Q26" s="24"/>
      <c r="R26" s="25">
        <v>10795.57</v>
      </c>
    </row>
    <row r="27" spans="1:18" x14ac:dyDescent="0.25">
      <c r="A27" s="46">
        <v>21</v>
      </c>
      <c r="B27" s="16" t="s">
        <v>13</v>
      </c>
      <c r="C27" s="14">
        <v>8109.21</v>
      </c>
      <c r="D27" s="27"/>
      <c r="E27" s="27"/>
      <c r="F27" s="27"/>
      <c r="G27" s="27"/>
      <c r="H27" s="27"/>
      <c r="I27" s="30"/>
      <c r="J27" s="30"/>
      <c r="K27" s="12">
        <f t="shared" si="8"/>
        <v>8109.21</v>
      </c>
      <c r="L27" s="3">
        <v>1028.5899999999999</v>
      </c>
      <c r="M27" s="3">
        <f>788.84+39.54</f>
        <v>828.38</v>
      </c>
      <c r="N27" s="2">
        <f t="shared" si="9"/>
        <v>1617.8599999999997</v>
      </c>
      <c r="O27" s="2">
        <f t="shared" si="2"/>
        <v>3474.8299999999995</v>
      </c>
      <c r="P27" s="18">
        <f>SUM(K27-O27)+H27</f>
        <v>4634.380000000001</v>
      </c>
      <c r="Q27" s="24"/>
      <c r="R27" s="25">
        <v>4634.38</v>
      </c>
    </row>
    <row r="28" spans="1:18" x14ac:dyDescent="0.25">
      <c r="A28" s="46">
        <v>22</v>
      </c>
      <c r="B28" s="16" t="s">
        <v>14</v>
      </c>
      <c r="C28" s="14">
        <v>8831.7199999999993</v>
      </c>
      <c r="D28" s="27"/>
      <c r="E28" s="27"/>
      <c r="F28" s="27"/>
      <c r="G28" s="27"/>
      <c r="H28" s="27"/>
      <c r="I28" s="30"/>
      <c r="J28" s="30"/>
      <c r="K28" s="12">
        <f t="shared" si="8"/>
        <v>8831.7199999999993</v>
      </c>
      <c r="L28" s="3">
        <v>1331.56</v>
      </c>
      <c r="M28" s="3">
        <v>828.38</v>
      </c>
      <c r="N28" s="2">
        <f t="shared" si="9"/>
        <v>7.1099999999996726</v>
      </c>
      <c r="O28" s="2">
        <f t="shared" si="2"/>
        <v>2167.0499999999997</v>
      </c>
      <c r="P28" s="18">
        <f t="shared" si="3"/>
        <v>6664.67</v>
      </c>
      <c r="Q28" s="24"/>
      <c r="R28" s="25">
        <v>6664.67</v>
      </c>
    </row>
    <row r="29" spans="1:18" x14ac:dyDescent="0.25">
      <c r="A29" s="46">
        <v>23</v>
      </c>
      <c r="B29" s="16" t="s">
        <v>15</v>
      </c>
      <c r="C29" s="14">
        <v>2958.86</v>
      </c>
      <c r="D29" s="27"/>
      <c r="E29" s="27"/>
      <c r="F29" s="27"/>
      <c r="G29" s="27"/>
      <c r="H29" s="27"/>
      <c r="I29" s="30"/>
      <c r="J29" s="30"/>
      <c r="K29" s="12">
        <f t="shared" si="8"/>
        <v>2958.86</v>
      </c>
      <c r="L29" s="3">
        <v>59.31</v>
      </c>
      <c r="M29" s="3">
        <v>264.06</v>
      </c>
      <c r="N29" s="2">
        <f t="shared" si="9"/>
        <v>647.98000000000025</v>
      </c>
      <c r="O29" s="2">
        <f t="shared" si="2"/>
        <v>971.35000000000025</v>
      </c>
      <c r="P29" s="18">
        <f t="shared" si="3"/>
        <v>1987.5099999999998</v>
      </c>
      <c r="Q29" s="24"/>
      <c r="R29" s="25">
        <v>1987.51</v>
      </c>
    </row>
    <row r="30" spans="1:18" x14ac:dyDescent="0.25">
      <c r="A30" s="46">
        <v>24</v>
      </c>
      <c r="B30" s="16" t="s">
        <v>16</v>
      </c>
      <c r="C30" s="14">
        <f>4230.07+1199.84</f>
        <v>5429.91</v>
      </c>
      <c r="D30" s="27">
        <v>1223.73</v>
      </c>
      <c r="E30" s="27"/>
      <c r="F30" s="27">
        <f>244.74+846.01+239.97+443.57</f>
        <v>1774.29</v>
      </c>
      <c r="G30" s="27"/>
      <c r="H30" s="27"/>
      <c r="I30" s="30"/>
      <c r="J30" s="30"/>
      <c r="K30" s="12">
        <f t="shared" si="8"/>
        <v>8427.93</v>
      </c>
      <c r="L30" s="3">
        <v>667.22</v>
      </c>
      <c r="M30" s="3">
        <f>686.88+141.5</f>
        <v>828.38</v>
      </c>
      <c r="N30" s="2">
        <f t="shared" si="9"/>
        <v>2360.04</v>
      </c>
      <c r="O30" s="2">
        <f t="shared" si="2"/>
        <v>3855.64</v>
      </c>
      <c r="P30" s="18">
        <f t="shared" si="3"/>
        <v>4572.2900000000009</v>
      </c>
      <c r="Q30" s="24"/>
      <c r="R30" s="25">
        <v>4572.29</v>
      </c>
    </row>
    <row r="31" spans="1:18" x14ac:dyDescent="0.25">
      <c r="A31" s="46">
        <v>25</v>
      </c>
      <c r="B31" s="16" t="s">
        <v>17</v>
      </c>
      <c r="C31" s="14">
        <f>5631.73+1858.47</f>
        <v>7490.2</v>
      </c>
      <c r="D31" s="27"/>
      <c r="E31" s="27"/>
      <c r="F31" s="27"/>
      <c r="G31" s="27"/>
      <c r="H31" s="27"/>
      <c r="I31" s="30"/>
      <c r="J31" s="30"/>
      <c r="K31" s="12">
        <f t="shared" si="8"/>
        <v>7490.2</v>
      </c>
      <c r="L31" s="3">
        <v>962.64</v>
      </c>
      <c r="M31" s="3">
        <v>828.38</v>
      </c>
      <c r="N31" s="2">
        <f t="shared" si="9"/>
        <v>257.22999999999956</v>
      </c>
      <c r="O31" s="2">
        <f t="shared" si="2"/>
        <v>2048.2499999999995</v>
      </c>
      <c r="P31" s="18">
        <f t="shared" si="3"/>
        <v>5441.9500000000007</v>
      </c>
      <c r="Q31" s="24"/>
      <c r="R31" s="25">
        <v>5441.95</v>
      </c>
    </row>
    <row r="32" spans="1:18" x14ac:dyDescent="0.25">
      <c r="A32" s="46">
        <v>26</v>
      </c>
      <c r="B32" s="16" t="s">
        <v>59</v>
      </c>
      <c r="C32" s="14">
        <f>5277.86+211.11</f>
        <v>5488.9699999999993</v>
      </c>
      <c r="D32" s="27"/>
      <c r="E32" s="27"/>
      <c r="F32" s="27"/>
      <c r="G32" s="27"/>
      <c r="H32" s="27"/>
      <c r="I32" s="30"/>
      <c r="J32" s="30"/>
      <c r="K32" s="12">
        <f>SUM(C32:I32)</f>
        <v>5488.9699999999993</v>
      </c>
      <c r="L32" s="3">
        <v>473.83</v>
      </c>
      <c r="M32" s="3">
        <v>604.63</v>
      </c>
      <c r="N32" s="2">
        <f t="shared" ref="N32" si="13">K32-L32-M32-R32</f>
        <v>42.049999999999272</v>
      </c>
      <c r="O32" s="2">
        <f t="shared" ref="O32" si="14">SUM(L32:N32)</f>
        <v>1120.5099999999993</v>
      </c>
      <c r="P32" s="18">
        <f>SUM(K32-O32)+H32</f>
        <v>4368.46</v>
      </c>
      <c r="Q32" s="24"/>
      <c r="R32" s="25">
        <v>4368.46</v>
      </c>
    </row>
    <row r="33" spans="1:18" x14ac:dyDescent="0.25">
      <c r="A33" s="46">
        <v>27</v>
      </c>
      <c r="B33" s="16" t="s">
        <v>18</v>
      </c>
      <c r="C33" s="14">
        <f>2146.93+472.32</f>
        <v>2619.25</v>
      </c>
      <c r="D33" s="27"/>
      <c r="E33" s="27"/>
      <c r="F33" s="27"/>
      <c r="G33" s="27"/>
      <c r="H33" s="27"/>
      <c r="I33" s="30"/>
      <c r="J33" s="30"/>
      <c r="K33" s="12">
        <f>SUM(C33:I33)</f>
        <v>2619.25</v>
      </c>
      <c r="L33" s="3">
        <v>26.09</v>
      </c>
      <c r="M33" s="3">
        <v>203.65</v>
      </c>
      <c r="N33" s="2">
        <f t="shared" si="9"/>
        <v>457.93999999999983</v>
      </c>
      <c r="O33" s="2">
        <f t="shared" si="2"/>
        <v>687.67999999999984</v>
      </c>
      <c r="P33" s="18">
        <f>SUM(K33-O33)+H33</f>
        <v>1931.5700000000002</v>
      </c>
      <c r="Q33" s="24"/>
      <c r="R33" s="25">
        <v>1931.57</v>
      </c>
    </row>
    <row r="34" spans="1:18" x14ac:dyDescent="0.25">
      <c r="A34" s="46">
        <v>28</v>
      </c>
      <c r="B34" s="16" t="s">
        <v>19</v>
      </c>
      <c r="C34" s="14">
        <f>5915.87+993.87</f>
        <v>6909.74</v>
      </c>
      <c r="D34" s="27">
        <v>1183.17</v>
      </c>
      <c r="E34" s="27"/>
      <c r="F34" s="27"/>
      <c r="G34" s="27"/>
      <c r="H34" s="27"/>
      <c r="I34" s="30"/>
      <c r="J34" s="30"/>
      <c r="K34" s="12">
        <f>SUM(C34:I34)</f>
        <v>8092.91</v>
      </c>
      <c r="L34" s="3">
        <v>1128.3900000000001</v>
      </c>
      <c r="M34" s="3">
        <f>408.05+420.33</f>
        <v>828.38</v>
      </c>
      <c r="N34" s="2">
        <f t="shared" si="9"/>
        <v>67.049999999999272</v>
      </c>
      <c r="O34" s="2">
        <f t="shared" si="2"/>
        <v>2023.8199999999993</v>
      </c>
      <c r="P34" s="18">
        <f t="shared" si="3"/>
        <v>6069.09</v>
      </c>
      <c r="Q34" s="24"/>
      <c r="R34" s="25">
        <v>6069.09</v>
      </c>
    </row>
    <row r="35" spans="1:18" x14ac:dyDescent="0.25">
      <c r="A35" s="46">
        <v>29</v>
      </c>
      <c r="B35" s="16" t="s">
        <v>20</v>
      </c>
      <c r="C35" s="14">
        <f>13962.05+4356.16</f>
        <v>18318.21</v>
      </c>
      <c r="D35" s="27">
        <v>2792.41</v>
      </c>
      <c r="E35" s="27"/>
      <c r="F35" s="27"/>
      <c r="G35" s="27"/>
      <c r="H35" s="27"/>
      <c r="I35" s="30"/>
      <c r="J35" s="30"/>
      <c r="K35" s="12">
        <f t="shared" ref="K35:K40" si="15">SUM(C35:I35)</f>
        <v>21110.62</v>
      </c>
      <c r="L35" s="3">
        <v>4656.12</v>
      </c>
      <c r="M35" s="3">
        <v>828.38</v>
      </c>
      <c r="N35" s="2">
        <f t="shared" si="9"/>
        <v>7.1100000000005821</v>
      </c>
      <c r="O35" s="2">
        <f t="shared" si="2"/>
        <v>5491.6100000000006</v>
      </c>
      <c r="P35" s="18">
        <f t="shared" si="3"/>
        <v>15619.009999999998</v>
      </c>
      <c r="Q35" s="24"/>
      <c r="R35" s="25">
        <v>15619.01</v>
      </c>
    </row>
    <row r="36" spans="1:18" x14ac:dyDescent="0.25">
      <c r="A36" s="46">
        <v>30</v>
      </c>
      <c r="B36" s="16" t="s">
        <v>60</v>
      </c>
      <c r="C36" s="14">
        <f>2899.66+417.55</f>
        <v>3317.21</v>
      </c>
      <c r="D36" s="27">
        <f>579.93+73.42</f>
        <v>653.34999999999991</v>
      </c>
      <c r="E36" s="27"/>
      <c r="F36" s="27">
        <f>579.93+2899.66+417.55+1299.05</f>
        <v>5196.1899999999996</v>
      </c>
      <c r="G36" s="27"/>
      <c r="H36" s="27"/>
      <c r="I36" s="30"/>
      <c r="J36" s="30"/>
      <c r="K36" s="12">
        <f t="shared" si="15"/>
        <v>9166.75</v>
      </c>
      <c r="L36" s="3">
        <f>201.07+406.19</f>
        <v>607.26</v>
      </c>
      <c r="M36" s="3">
        <f>264.74+563.64</f>
        <v>828.38</v>
      </c>
      <c r="N36" s="2">
        <f t="shared" si="9"/>
        <v>4258.1899999999996</v>
      </c>
      <c r="O36" s="2">
        <f t="shared" si="2"/>
        <v>5693.83</v>
      </c>
      <c r="P36" s="18">
        <f t="shared" si="3"/>
        <v>3472.92</v>
      </c>
      <c r="Q36" s="24"/>
      <c r="R36" s="25">
        <v>3472.92</v>
      </c>
    </row>
    <row r="37" spans="1:18" x14ac:dyDescent="0.25">
      <c r="A37" s="46">
        <v>31</v>
      </c>
      <c r="B37" s="16" t="s">
        <v>21</v>
      </c>
      <c r="C37" s="14">
        <f>5517.84+529.71</f>
        <v>6047.55</v>
      </c>
      <c r="D37" s="27">
        <v>1103.57</v>
      </c>
      <c r="E37" s="27"/>
      <c r="F37" s="27"/>
      <c r="G37" s="27"/>
      <c r="H37" s="27"/>
      <c r="I37" s="30"/>
      <c r="J37" s="30"/>
      <c r="K37" s="12">
        <f t="shared" si="15"/>
        <v>7151.12</v>
      </c>
      <c r="L37" s="3">
        <v>765.12</v>
      </c>
      <c r="M37" s="3">
        <v>828.38</v>
      </c>
      <c r="N37" s="2">
        <f t="shared" si="9"/>
        <v>1912.67</v>
      </c>
      <c r="O37" s="2">
        <f t="shared" si="2"/>
        <v>3506.17</v>
      </c>
      <c r="P37" s="18">
        <f>SUM(K37-O37)+H37</f>
        <v>3644.95</v>
      </c>
      <c r="Q37" s="24"/>
      <c r="R37" s="25">
        <v>3644.95</v>
      </c>
    </row>
    <row r="38" spans="1:18" x14ac:dyDescent="0.25">
      <c r="A38" s="46">
        <v>32</v>
      </c>
      <c r="B38" s="16" t="s">
        <v>57</v>
      </c>
      <c r="C38" s="14">
        <v>2362.11</v>
      </c>
      <c r="D38" s="27"/>
      <c r="E38" s="27"/>
      <c r="F38" s="27"/>
      <c r="G38" s="27"/>
      <c r="H38" s="27"/>
      <c r="I38" s="30"/>
      <c r="J38" s="30"/>
      <c r="K38" s="12">
        <f t="shared" si="15"/>
        <v>2362.11</v>
      </c>
      <c r="L38" s="3">
        <v>19.78</v>
      </c>
      <c r="M38" s="3">
        <v>194.4</v>
      </c>
      <c r="N38" s="2">
        <f t="shared" ref="N38" si="16">K38-L38-M38-R38</f>
        <v>18.4699999999998</v>
      </c>
      <c r="O38" s="2">
        <f t="shared" ref="O38" si="17">SUM(L38:N38)</f>
        <v>232.64999999999981</v>
      </c>
      <c r="P38" s="18">
        <f t="shared" ref="P38" si="18">SUM(K38-O38)</f>
        <v>2129.4600000000005</v>
      </c>
      <c r="Q38" s="24"/>
      <c r="R38" s="25">
        <v>2129.46</v>
      </c>
    </row>
    <row r="39" spans="1:18" x14ac:dyDescent="0.25">
      <c r="A39" s="46">
        <v>33</v>
      </c>
      <c r="B39" s="16" t="s">
        <v>22</v>
      </c>
      <c r="C39" s="14">
        <f>3282.15+426.68</f>
        <v>3708.83</v>
      </c>
      <c r="D39" s="27"/>
      <c r="E39" s="27"/>
      <c r="F39" s="27"/>
      <c r="G39" s="27"/>
      <c r="H39" s="27"/>
      <c r="I39" s="30"/>
      <c r="J39" s="30"/>
      <c r="K39" s="12">
        <f t="shared" si="15"/>
        <v>3708.83</v>
      </c>
      <c r="L39" s="3">
        <v>148.21</v>
      </c>
      <c r="M39" s="3">
        <v>355.41</v>
      </c>
      <c r="N39" s="2">
        <f t="shared" si="9"/>
        <v>1026.1500000000001</v>
      </c>
      <c r="O39" s="2">
        <f t="shared" si="2"/>
        <v>1529.77</v>
      </c>
      <c r="P39" s="18">
        <f t="shared" si="3"/>
        <v>2179.06</v>
      </c>
      <c r="Q39" s="24"/>
      <c r="R39" s="25">
        <v>2179.06</v>
      </c>
    </row>
    <row r="40" spans="1:18" x14ac:dyDescent="0.25">
      <c r="A40" s="46">
        <v>34</v>
      </c>
      <c r="B40" s="16" t="s">
        <v>23</v>
      </c>
      <c r="C40" s="14">
        <f>13962.05+4523.7</f>
        <v>18485.75</v>
      </c>
      <c r="D40" s="27">
        <v>2792.41</v>
      </c>
      <c r="E40" s="27"/>
      <c r="F40" s="27"/>
      <c r="G40" s="27"/>
      <c r="H40" s="27"/>
      <c r="I40" s="30"/>
      <c r="J40" s="30"/>
      <c r="K40" s="12">
        <f t="shared" si="15"/>
        <v>21278.16</v>
      </c>
      <c r="L40" s="3">
        <v>4650.05</v>
      </c>
      <c r="M40" s="3">
        <v>828.38</v>
      </c>
      <c r="N40" s="2">
        <f t="shared" si="9"/>
        <v>85.110000000000582</v>
      </c>
      <c r="O40" s="2">
        <f t="shared" si="2"/>
        <v>5563.5400000000009</v>
      </c>
      <c r="P40" s="18">
        <f t="shared" si="3"/>
        <v>15714.619999999999</v>
      </c>
      <c r="Q40" s="24"/>
      <c r="R40" s="25">
        <v>15714.62</v>
      </c>
    </row>
    <row r="41" spans="1:18" x14ac:dyDescent="0.25">
      <c r="A41" s="46">
        <v>35</v>
      </c>
      <c r="B41" s="35" t="s">
        <v>24</v>
      </c>
      <c r="C41" s="36">
        <f>847.31+110.15</f>
        <v>957.45999999999992</v>
      </c>
      <c r="D41" s="28"/>
      <c r="E41" s="28"/>
      <c r="F41" s="28">
        <f>1463.53+190.26+551.27</f>
        <v>2205.06</v>
      </c>
      <c r="G41" s="28"/>
      <c r="H41" s="28"/>
      <c r="I41" s="34"/>
      <c r="J41" s="34"/>
      <c r="K41" s="37">
        <f t="shared" ref="K41:K48" si="19">SUM(C41:I41)</f>
        <v>3162.52</v>
      </c>
      <c r="L41" s="38">
        <v>118.43</v>
      </c>
      <c r="M41" s="38">
        <f>81.53+206.97</f>
        <v>288.5</v>
      </c>
      <c r="N41" s="39">
        <f t="shared" ref="N41:N58" si="20">K41-L41-M41-R41</f>
        <v>2331.1000000000004</v>
      </c>
      <c r="O41" s="39">
        <f t="shared" si="2"/>
        <v>2738.03</v>
      </c>
      <c r="P41" s="40">
        <f t="shared" si="3"/>
        <v>424.48999999999978</v>
      </c>
      <c r="Q41" s="24"/>
      <c r="R41" s="25">
        <v>424.49</v>
      </c>
    </row>
    <row r="42" spans="1:18" x14ac:dyDescent="0.25">
      <c r="A42" s="46">
        <v>36</v>
      </c>
      <c r="B42" s="16" t="s">
        <v>25</v>
      </c>
      <c r="C42" s="14">
        <f>4167.45+958.51</f>
        <v>5125.96</v>
      </c>
      <c r="D42" s="27"/>
      <c r="E42" s="27"/>
      <c r="F42" s="27"/>
      <c r="G42" s="27"/>
      <c r="H42" s="27"/>
      <c r="I42" s="31"/>
      <c r="J42" s="31"/>
      <c r="K42" s="12">
        <f t="shared" si="19"/>
        <v>5125.96</v>
      </c>
      <c r="L42" s="3">
        <v>392.6</v>
      </c>
      <c r="M42" s="3">
        <v>553.80999999999995</v>
      </c>
      <c r="N42" s="2">
        <f t="shared" si="20"/>
        <v>535.18999999999915</v>
      </c>
      <c r="O42" s="2">
        <f t="shared" si="2"/>
        <v>1481.599999999999</v>
      </c>
      <c r="P42" s="18">
        <f t="shared" si="3"/>
        <v>3644.360000000001</v>
      </c>
      <c r="Q42" s="24"/>
      <c r="R42" s="25">
        <v>3644.36</v>
      </c>
    </row>
    <row r="43" spans="1:18" x14ac:dyDescent="0.25">
      <c r="A43" s="46">
        <v>37</v>
      </c>
      <c r="B43" s="16" t="s">
        <v>26</v>
      </c>
      <c r="C43" s="14">
        <f>9214.63+1382.19</f>
        <v>10596.82</v>
      </c>
      <c r="D43" s="27"/>
      <c r="E43" s="27"/>
      <c r="F43" s="27"/>
      <c r="G43" s="27"/>
      <c r="H43" s="27"/>
      <c r="I43" s="31">
        <v>3134.27</v>
      </c>
      <c r="J43" s="31"/>
      <c r="K43" s="12">
        <f t="shared" si="19"/>
        <v>13731.09</v>
      </c>
      <c r="L43" s="3">
        <v>2626.75</v>
      </c>
      <c r="M43" s="3">
        <f>619.25+209.13</f>
        <v>828.38</v>
      </c>
      <c r="N43" s="2">
        <f t="shared" si="20"/>
        <v>743.09000000000015</v>
      </c>
      <c r="O43" s="2">
        <f t="shared" si="2"/>
        <v>4198.22</v>
      </c>
      <c r="P43" s="18">
        <f t="shared" si="3"/>
        <v>9532.869999999999</v>
      </c>
      <c r="Q43" s="24"/>
      <c r="R43" s="25">
        <v>9532.8700000000008</v>
      </c>
    </row>
    <row r="44" spans="1:18" x14ac:dyDescent="0.25">
      <c r="A44" s="46">
        <v>38</v>
      </c>
      <c r="B44" s="16" t="s">
        <v>27</v>
      </c>
      <c r="C44" s="14">
        <f>6211.79+3358.05</f>
        <v>9569.84</v>
      </c>
      <c r="D44" s="27">
        <v>6703.8</v>
      </c>
      <c r="E44" s="27"/>
      <c r="F44" s="27"/>
      <c r="G44" s="27"/>
      <c r="H44" s="27"/>
      <c r="I44" s="31"/>
      <c r="J44" s="31"/>
      <c r="K44" s="12">
        <f t="shared" si="19"/>
        <v>16273.64</v>
      </c>
      <c r="L44" s="3">
        <v>3378.09</v>
      </c>
      <c r="M44" s="3">
        <f>389.48+438.9</f>
        <v>828.38</v>
      </c>
      <c r="N44" s="2">
        <f>K44-L44-M44-R44</f>
        <v>956.61000000000058</v>
      </c>
      <c r="O44" s="2">
        <f>SUM(L44:N44)</f>
        <v>5163.0800000000008</v>
      </c>
      <c r="P44" s="18">
        <f t="shared" si="3"/>
        <v>11110.559999999998</v>
      </c>
      <c r="Q44" s="24"/>
      <c r="R44" s="25">
        <v>11110.56</v>
      </c>
    </row>
    <row r="45" spans="1:18" x14ac:dyDescent="0.25">
      <c r="A45" s="46">
        <v>39</v>
      </c>
      <c r="B45" s="16" t="s">
        <v>28</v>
      </c>
      <c r="C45" s="14">
        <f>5799.31+1043.88</f>
        <v>6843.1900000000005</v>
      </c>
      <c r="D45" s="27">
        <v>1159.8599999999999</v>
      </c>
      <c r="E45" s="27"/>
      <c r="F45" s="27"/>
      <c r="G45" s="27"/>
      <c r="H45" s="27"/>
      <c r="I45" s="31"/>
      <c r="J45" s="31"/>
      <c r="K45" s="12">
        <f t="shared" si="19"/>
        <v>8003.05</v>
      </c>
      <c r="L45" s="3">
        <v>999.4</v>
      </c>
      <c r="M45" s="3">
        <v>828.38</v>
      </c>
      <c r="N45" s="2">
        <f t="shared" si="20"/>
        <v>478.01000000000022</v>
      </c>
      <c r="O45" s="2">
        <f t="shared" si="2"/>
        <v>2305.79</v>
      </c>
      <c r="P45" s="18">
        <f t="shared" si="3"/>
        <v>5697.26</v>
      </c>
      <c r="Q45" s="24"/>
      <c r="R45" s="25">
        <v>5697.26</v>
      </c>
    </row>
    <row r="46" spans="1:18" x14ac:dyDescent="0.25">
      <c r="A46" s="46">
        <v>40</v>
      </c>
      <c r="B46" s="16" t="s">
        <v>29</v>
      </c>
      <c r="C46" s="14">
        <f>6403.56+1857.03</f>
        <v>8260.59</v>
      </c>
      <c r="D46" s="27">
        <v>190.9</v>
      </c>
      <c r="E46" s="27"/>
      <c r="F46" s="27"/>
      <c r="G46" s="27"/>
      <c r="H46" s="27"/>
      <c r="I46" s="31"/>
      <c r="J46" s="31"/>
      <c r="K46" s="12">
        <f t="shared" si="19"/>
        <v>8451.49</v>
      </c>
      <c r="L46" s="3">
        <v>1174.8599999999999</v>
      </c>
      <c r="M46" s="3">
        <f>261.7+566.68</f>
        <v>828.37999999999988</v>
      </c>
      <c r="N46" s="2">
        <f t="shared" si="20"/>
        <v>982.14999999999964</v>
      </c>
      <c r="O46" s="2">
        <f t="shared" si="2"/>
        <v>2985.3899999999994</v>
      </c>
      <c r="P46" s="18">
        <f>SUM(K46-O46)+H46</f>
        <v>5466.1</v>
      </c>
      <c r="Q46" s="24"/>
      <c r="R46" s="25">
        <v>5466.1</v>
      </c>
    </row>
    <row r="47" spans="1:18" x14ac:dyDescent="0.25">
      <c r="A47" s="46">
        <v>41</v>
      </c>
      <c r="B47" s="16" t="s">
        <v>30</v>
      </c>
      <c r="C47" s="14">
        <f>3866.21+556.73</f>
        <v>4422.9400000000005</v>
      </c>
      <c r="D47" s="27">
        <v>773.24</v>
      </c>
      <c r="E47" s="27"/>
      <c r="F47" s="27">
        <f>386.62+1933.1+278.37+866.03</f>
        <v>3464.12</v>
      </c>
      <c r="G47" s="27"/>
      <c r="H47" s="27"/>
      <c r="I47" s="31"/>
      <c r="J47" s="31"/>
      <c r="K47" s="12">
        <f t="shared" si="19"/>
        <v>8660.2999999999993</v>
      </c>
      <c r="L47" s="3">
        <f>421.07+116.11</f>
        <v>537.17999999999995</v>
      </c>
      <c r="M47" s="3">
        <f>503.69+324.69</f>
        <v>828.38</v>
      </c>
      <c r="N47" s="2">
        <f t="shared" si="20"/>
        <v>3999.1299999999987</v>
      </c>
      <c r="O47" s="2">
        <f t="shared" si="2"/>
        <v>5364.6899999999987</v>
      </c>
      <c r="P47" s="18">
        <f>SUM(K47-O47)+H47</f>
        <v>3295.6100000000006</v>
      </c>
      <c r="Q47" s="24"/>
      <c r="R47" s="25">
        <v>3295.61</v>
      </c>
    </row>
    <row r="48" spans="1:18" x14ac:dyDescent="0.25">
      <c r="A48" s="46">
        <v>42</v>
      </c>
      <c r="B48" s="16" t="s">
        <v>31</v>
      </c>
      <c r="C48" s="14">
        <f>4473.12+581.51</f>
        <v>5054.63</v>
      </c>
      <c r="D48" s="27"/>
      <c r="E48" s="27"/>
      <c r="F48" s="27"/>
      <c r="G48" s="27"/>
      <c r="H48" s="27"/>
      <c r="I48" s="31"/>
      <c r="J48" s="31"/>
      <c r="K48" s="12">
        <f t="shared" si="19"/>
        <v>5054.63</v>
      </c>
      <c r="L48" s="3">
        <v>293.49</v>
      </c>
      <c r="M48" s="3">
        <v>543.82000000000005</v>
      </c>
      <c r="N48" s="2">
        <f t="shared" si="20"/>
        <v>782.29000000000042</v>
      </c>
      <c r="O48" s="2">
        <f t="shared" si="2"/>
        <v>1619.6000000000004</v>
      </c>
      <c r="P48" s="18">
        <f t="shared" si="3"/>
        <v>3435.0299999999997</v>
      </c>
      <c r="Q48" s="24"/>
      <c r="R48" s="25">
        <v>3435.03</v>
      </c>
    </row>
    <row r="49" spans="1:18" x14ac:dyDescent="0.25">
      <c r="A49" s="46">
        <v>43</v>
      </c>
      <c r="B49" s="16" t="s">
        <v>32</v>
      </c>
      <c r="C49" s="14">
        <f>5799.31+1136.66</f>
        <v>6935.97</v>
      </c>
      <c r="D49" s="27">
        <v>2319.7199999999998</v>
      </c>
      <c r="E49" s="27"/>
      <c r="F49" s="27"/>
      <c r="G49" s="27"/>
      <c r="H49" s="27"/>
      <c r="I49" s="31"/>
      <c r="J49" s="31"/>
      <c r="K49" s="12">
        <f t="shared" ref="K49:K56" si="21">SUM(C49:I49)</f>
        <v>9255.69</v>
      </c>
      <c r="L49" s="3">
        <v>1396.01</v>
      </c>
      <c r="M49" s="3">
        <f>135.92+692.46</f>
        <v>828.38</v>
      </c>
      <c r="N49" s="2">
        <f t="shared" si="20"/>
        <v>240.59000000000015</v>
      </c>
      <c r="O49" s="2">
        <f t="shared" si="2"/>
        <v>2464.98</v>
      </c>
      <c r="P49" s="18">
        <f t="shared" si="3"/>
        <v>6790.7100000000009</v>
      </c>
      <c r="Q49" s="24"/>
      <c r="R49" s="25">
        <v>6790.71</v>
      </c>
    </row>
    <row r="50" spans="1:18" x14ac:dyDescent="0.25">
      <c r="A50" s="46">
        <v>44</v>
      </c>
      <c r="B50" s="16" t="s">
        <v>33</v>
      </c>
      <c r="C50" s="14">
        <f>5398.74+485.89</f>
        <v>5884.63</v>
      </c>
      <c r="D50" s="27"/>
      <c r="E50" s="27"/>
      <c r="F50" s="27">
        <f>599.86+53.99+217.95</f>
        <v>871.8</v>
      </c>
      <c r="G50" s="27"/>
      <c r="H50" s="27"/>
      <c r="I50" s="31"/>
      <c r="J50" s="31"/>
      <c r="K50" s="12">
        <f t="shared" si="21"/>
        <v>6756.43</v>
      </c>
      <c r="L50" s="3">
        <f>505.62+166.16</f>
        <v>671.78</v>
      </c>
      <c r="M50" s="3">
        <f>695.12+86.95</f>
        <v>782.07</v>
      </c>
      <c r="N50" s="2">
        <f t="shared" si="20"/>
        <v>1586.3000000000006</v>
      </c>
      <c r="O50" s="2">
        <f t="shared" si="2"/>
        <v>3040.1500000000005</v>
      </c>
      <c r="P50" s="18">
        <f t="shared" si="3"/>
        <v>3716.2799999999997</v>
      </c>
      <c r="Q50" s="24"/>
      <c r="R50" s="25">
        <v>3716.28</v>
      </c>
    </row>
    <row r="51" spans="1:18" x14ac:dyDescent="0.25">
      <c r="A51" s="46">
        <v>45</v>
      </c>
      <c r="B51" s="16" t="s">
        <v>56</v>
      </c>
      <c r="C51" s="14">
        <f>2271.26+113.56</f>
        <v>2384.8200000000002</v>
      </c>
      <c r="D51" s="27"/>
      <c r="E51" s="27"/>
      <c r="F51" s="27"/>
      <c r="G51" s="27"/>
      <c r="H51" s="27"/>
      <c r="I51" s="31"/>
      <c r="J51" s="31"/>
      <c r="K51" s="12">
        <f t="shared" si="21"/>
        <v>2384.8200000000002</v>
      </c>
      <c r="L51" s="3">
        <v>21.33</v>
      </c>
      <c r="M51" s="3">
        <v>196.45</v>
      </c>
      <c r="N51" s="2">
        <f t="shared" ref="N51" si="22">K51-L51-M51-R51</f>
        <v>8.1100000000005821</v>
      </c>
      <c r="O51" s="2">
        <f t="shared" ref="O51" si="23">SUM(L51:N51)</f>
        <v>225.89000000000055</v>
      </c>
      <c r="P51" s="18">
        <f t="shared" ref="P51" si="24">SUM(K51-O51)</f>
        <v>2158.9299999999994</v>
      </c>
      <c r="Q51" s="24"/>
      <c r="R51" s="25">
        <v>2158.9299999999998</v>
      </c>
    </row>
    <row r="52" spans="1:18" x14ac:dyDescent="0.25">
      <c r="A52" s="46">
        <v>46</v>
      </c>
      <c r="B52" s="16" t="s">
        <v>34</v>
      </c>
      <c r="C52" s="14">
        <f>13962.05+5026.34</f>
        <v>18988.39</v>
      </c>
      <c r="D52" s="27">
        <v>2792.41</v>
      </c>
      <c r="E52" s="27"/>
      <c r="F52" s="27"/>
      <c r="G52" s="27"/>
      <c r="H52" s="27"/>
      <c r="I52" s="31"/>
      <c r="J52" s="31"/>
      <c r="K52" s="12">
        <f t="shared" si="21"/>
        <v>21780.799999999999</v>
      </c>
      <c r="L52" s="3">
        <v>4892.5600000000004</v>
      </c>
      <c r="M52" s="3">
        <v>828.38</v>
      </c>
      <c r="N52" s="2">
        <f t="shared" si="20"/>
        <v>7.1099999999987631</v>
      </c>
      <c r="O52" s="2">
        <f t="shared" si="2"/>
        <v>5728.0499999999993</v>
      </c>
      <c r="P52" s="18">
        <f>SUM(K52-O52)+H52</f>
        <v>16052.75</v>
      </c>
      <c r="Q52" s="24"/>
      <c r="R52" s="25">
        <v>16052.75</v>
      </c>
    </row>
    <row r="53" spans="1:18" x14ac:dyDescent="0.25">
      <c r="A53" s="46">
        <v>47</v>
      </c>
      <c r="B53" s="16" t="s">
        <v>35</v>
      </c>
      <c r="C53" s="14">
        <f>2333.95+350.09</f>
        <v>2684.04</v>
      </c>
      <c r="D53" s="27"/>
      <c r="E53" s="27"/>
      <c r="F53" s="27"/>
      <c r="G53" s="27"/>
      <c r="H53" s="27"/>
      <c r="I53" s="31"/>
      <c r="J53" s="31"/>
      <c r="K53" s="12">
        <f t="shared" si="21"/>
        <v>2684.04</v>
      </c>
      <c r="L53" s="3">
        <v>41.17</v>
      </c>
      <c r="M53" s="3">
        <v>231.08</v>
      </c>
      <c r="N53" s="2">
        <f t="shared" si="20"/>
        <v>43.739999999999782</v>
      </c>
      <c r="O53" s="2">
        <f t="shared" si="2"/>
        <v>315.98999999999978</v>
      </c>
      <c r="P53" s="18">
        <f t="shared" si="3"/>
        <v>2368.0500000000002</v>
      </c>
      <c r="Q53" s="24"/>
      <c r="R53" s="25">
        <v>2368.0500000000002</v>
      </c>
    </row>
    <row r="54" spans="1:18" x14ac:dyDescent="0.25">
      <c r="A54" s="46">
        <v>48</v>
      </c>
      <c r="B54" s="16" t="s">
        <v>75</v>
      </c>
      <c r="C54" s="14">
        <f>3167.55+31.68</f>
        <v>3199.23</v>
      </c>
      <c r="D54" s="27"/>
      <c r="E54" s="27"/>
      <c r="F54" s="27"/>
      <c r="G54" s="27"/>
      <c r="H54" s="27"/>
      <c r="I54" s="31"/>
      <c r="J54" s="31"/>
      <c r="K54" s="12">
        <f t="shared" si="21"/>
        <v>3199.23</v>
      </c>
      <c r="L54" s="3">
        <v>81.150000000000006</v>
      </c>
      <c r="M54" s="3">
        <v>292.89999999999998</v>
      </c>
      <c r="N54" s="2">
        <f t="shared" ref="N54" si="25">K54-L54-M54-R54</f>
        <v>38.309999999999945</v>
      </c>
      <c r="O54" s="2">
        <f t="shared" ref="O54" si="26">SUM(L54:N54)</f>
        <v>412.3599999999999</v>
      </c>
      <c r="P54" s="18">
        <f t="shared" ref="P54" si="27">SUM(K54-O54)</f>
        <v>2786.87</v>
      </c>
      <c r="Q54" s="24"/>
      <c r="R54" s="25">
        <v>2786.87</v>
      </c>
    </row>
    <row r="55" spans="1:18" x14ac:dyDescent="0.25">
      <c r="A55" s="46">
        <v>49</v>
      </c>
      <c r="B55" s="16" t="s">
        <v>36</v>
      </c>
      <c r="C55" s="14">
        <f>12110.38+4795.71</f>
        <v>16906.09</v>
      </c>
      <c r="D55" s="27">
        <v>2422.08</v>
      </c>
      <c r="E55" s="27"/>
      <c r="F55" s="27"/>
      <c r="G55" s="27"/>
      <c r="H55" s="27"/>
      <c r="I55" s="31"/>
      <c r="J55" s="31"/>
      <c r="K55" s="12">
        <f t="shared" si="21"/>
        <v>19328.169999999998</v>
      </c>
      <c r="L55" s="3">
        <v>4165.95</v>
      </c>
      <c r="M55" s="3">
        <v>828.38</v>
      </c>
      <c r="N55" s="2">
        <f t="shared" si="20"/>
        <v>2743.869999999999</v>
      </c>
      <c r="O55" s="2">
        <f t="shared" si="2"/>
        <v>7738.1999999999989</v>
      </c>
      <c r="P55" s="18">
        <f>SUM(K55-O55)+H55</f>
        <v>11589.97</v>
      </c>
      <c r="Q55" s="24"/>
      <c r="R55" s="25">
        <v>11589.97</v>
      </c>
    </row>
    <row r="56" spans="1:18" x14ac:dyDescent="0.25">
      <c r="A56" s="46">
        <v>50</v>
      </c>
      <c r="B56" s="16" t="s">
        <v>37</v>
      </c>
      <c r="C56" s="14">
        <v>6044.35</v>
      </c>
      <c r="D56" s="27"/>
      <c r="E56" s="27"/>
      <c r="F56" s="27"/>
      <c r="G56" s="27"/>
      <c r="H56" s="27"/>
      <c r="I56" s="31"/>
      <c r="J56" s="31"/>
      <c r="K56" s="12">
        <f t="shared" si="21"/>
        <v>6044.35</v>
      </c>
      <c r="L56" s="3">
        <v>553.04</v>
      </c>
      <c r="M56" s="3">
        <v>682.38</v>
      </c>
      <c r="N56" s="2">
        <f t="shared" si="20"/>
        <v>1631.8900000000003</v>
      </c>
      <c r="O56" s="2">
        <f t="shared" si="2"/>
        <v>2867.3100000000004</v>
      </c>
      <c r="P56" s="18">
        <f t="shared" si="3"/>
        <v>3177.04</v>
      </c>
      <c r="Q56" s="24"/>
      <c r="R56" s="25">
        <v>3177.04</v>
      </c>
    </row>
    <row r="57" spans="1:18" x14ac:dyDescent="0.25">
      <c r="A57" s="46">
        <v>51</v>
      </c>
      <c r="B57" s="16" t="s">
        <v>62</v>
      </c>
      <c r="C57" s="14">
        <f>4752.79+142.58</f>
        <v>4895.37</v>
      </c>
      <c r="D57" s="27"/>
      <c r="E57" s="27"/>
      <c r="F57" s="27"/>
      <c r="G57" s="27"/>
      <c r="H57" s="27"/>
      <c r="I57" s="31"/>
      <c r="J57" s="31"/>
      <c r="K57" s="12">
        <f>SUM(C57:I57)</f>
        <v>4895.37</v>
      </c>
      <c r="L57" s="3">
        <v>347.99</v>
      </c>
      <c r="M57" s="3">
        <v>521.52</v>
      </c>
      <c r="N57" s="2">
        <f t="shared" ref="N57" si="28">K57-L57-M57-R57</f>
        <v>1122.2400000000002</v>
      </c>
      <c r="O57" s="2">
        <f t="shared" ref="O57" si="29">SUM(L57:N57)</f>
        <v>1991.7500000000002</v>
      </c>
      <c r="P57" s="18">
        <f t="shared" ref="P57" si="30">SUM(K57-O57)</f>
        <v>2903.62</v>
      </c>
      <c r="Q57" s="24"/>
      <c r="R57" s="25">
        <v>2903.62</v>
      </c>
    </row>
    <row r="58" spans="1:18" ht="15.75" thickBot="1" x14ac:dyDescent="0.3">
      <c r="A58" s="46">
        <v>52</v>
      </c>
      <c r="B58" s="17" t="s">
        <v>38</v>
      </c>
      <c r="C58" s="15">
        <f>9306.78+1451.86</f>
        <v>10758.640000000001</v>
      </c>
      <c r="D58" s="29">
        <v>1861.36</v>
      </c>
      <c r="E58" s="29"/>
      <c r="F58" s="29"/>
      <c r="G58" s="29"/>
      <c r="H58" s="29"/>
      <c r="I58" s="32">
        <v>3134.27</v>
      </c>
      <c r="J58" s="32"/>
      <c r="K58" s="13">
        <f>SUM(C58:J58)</f>
        <v>15754.270000000002</v>
      </c>
      <c r="L58" s="10">
        <v>3183.12</v>
      </c>
      <c r="M58" s="10">
        <v>828.38</v>
      </c>
      <c r="N58" s="11">
        <f t="shared" si="20"/>
        <v>69.910000000001673</v>
      </c>
      <c r="O58" s="11">
        <f t="shared" si="2"/>
        <v>4081.4100000000017</v>
      </c>
      <c r="P58" s="19">
        <f t="shared" si="3"/>
        <v>11672.86</v>
      </c>
      <c r="Q58" s="24"/>
      <c r="R58" s="25">
        <v>11672.86</v>
      </c>
    </row>
    <row r="59" spans="1:18" ht="15.75" thickBot="1" x14ac:dyDescent="0.3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8" x14ac:dyDescent="0.25">
      <c r="B60" s="57" t="s">
        <v>80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</row>
    <row r="61" spans="1:18" x14ac:dyDescent="0.25">
      <c r="B61" s="61" t="s">
        <v>77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3"/>
    </row>
    <row r="62" spans="1:18" ht="5.25" customHeight="1" x14ac:dyDescent="0.25"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3"/>
    </row>
    <row r="63" spans="1:18" x14ac:dyDescent="0.25">
      <c r="B63" s="54" t="s">
        <v>71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</row>
    <row r="64" spans="1:18" x14ac:dyDescent="0.25">
      <c r="B64" s="51" t="s">
        <v>68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3"/>
    </row>
    <row r="65" spans="2:16" x14ac:dyDescent="0.25">
      <c r="B65" s="51" t="s">
        <v>69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1" t="s">
        <v>70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15.75" thickBot="1" x14ac:dyDescent="0.3">
      <c r="B67" s="48" t="s">
        <v>78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50"/>
    </row>
    <row r="68" spans="2:16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 x14ac:dyDescent="0.25">
      <c r="B69" s="6"/>
      <c r="C69" s="5"/>
      <c r="D69" s="5"/>
      <c r="E69" s="5"/>
      <c r="F69" s="5"/>
      <c r="G69" s="5"/>
      <c r="H69" s="5"/>
      <c r="I69" s="5"/>
      <c r="J69" s="5"/>
      <c r="K69" s="47"/>
      <c r="L69" s="5"/>
      <c r="M69" s="5"/>
      <c r="N69" s="5"/>
      <c r="O69" s="47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2:16" x14ac:dyDescent="0.25">
      <c r="K71" s="1"/>
      <c r="O71" s="1"/>
      <c r="P71" s="1"/>
    </row>
    <row r="73" spans="2:16" x14ac:dyDescent="0.25">
      <c r="K73" s="1"/>
      <c r="O73" s="1"/>
    </row>
    <row r="74" spans="2:16" x14ac:dyDescent="0.25">
      <c r="K74" s="1"/>
      <c r="L74" s="1"/>
      <c r="M74" s="1"/>
      <c r="N74" s="1"/>
      <c r="P74" s="1"/>
    </row>
  </sheetData>
  <mergeCells count="19">
    <mergeCell ref="B60:P60"/>
    <mergeCell ref="B59:P59"/>
    <mergeCell ref="B61:P61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7:P67"/>
    <mergeCell ref="B62:P62"/>
    <mergeCell ref="B63:P63"/>
    <mergeCell ref="B64:P64"/>
    <mergeCell ref="B66:P66"/>
    <mergeCell ref="B65:P65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2022-07-21T19:50:43Z</cp:lastPrinted>
  <dcterms:created xsi:type="dcterms:W3CDTF">2016-04-28T12:49:34Z</dcterms:created>
  <dcterms:modified xsi:type="dcterms:W3CDTF">2022-09-28T13:37:51Z</dcterms:modified>
</cp:coreProperties>
</file>