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2\FOLHAS DE PAGAMENTO\PORTAL DA TRANSPARÊNCIA\13 - 13º SALÁRIO\"/>
    </mc:Choice>
  </mc:AlternateContent>
  <xr:revisionPtr revIDLastSave="0" documentId="8_{F01CA321-DA9D-4B14-BE24-5626A2AE4EC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mes!$A$1:$L$65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6" l="1"/>
  <c r="E55" i="6"/>
  <c r="C55" i="6"/>
  <c r="C53" i="6"/>
  <c r="G53" i="6" s="1"/>
  <c r="C52" i="6"/>
  <c r="C50" i="6"/>
  <c r="C47" i="6"/>
  <c r="G47" i="6" s="1"/>
  <c r="C46" i="6"/>
  <c r="C45" i="6"/>
  <c r="C44" i="6"/>
  <c r="C43" i="6"/>
  <c r="C42" i="6"/>
  <c r="G42" i="6" s="1"/>
  <c r="C38" i="6"/>
  <c r="G38" i="6" s="1"/>
  <c r="C37" i="6"/>
  <c r="C35" i="6"/>
  <c r="C34" i="6"/>
  <c r="C33" i="6"/>
  <c r="G33" i="6" s="1"/>
  <c r="C32" i="6"/>
  <c r="C30" i="6"/>
  <c r="G30" i="6" s="1"/>
  <c r="C29" i="6"/>
  <c r="C28" i="6"/>
  <c r="C27" i="6"/>
  <c r="G27" i="6" s="1"/>
  <c r="C26" i="6"/>
  <c r="C25" i="6"/>
  <c r="G25" i="6"/>
  <c r="C24" i="6"/>
  <c r="C23" i="6"/>
  <c r="C22" i="6"/>
  <c r="C21" i="6"/>
  <c r="C20" i="6"/>
  <c r="G20" i="6" s="1"/>
  <c r="C19" i="6"/>
  <c r="C18" i="6"/>
  <c r="C17" i="6"/>
  <c r="C16" i="6"/>
  <c r="C15" i="6"/>
  <c r="E14" i="6"/>
  <c r="D14" i="6"/>
  <c r="C14" i="6"/>
  <c r="C13" i="6"/>
  <c r="C12" i="6"/>
  <c r="C11" i="6"/>
  <c r="C10" i="6"/>
  <c r="C9" i="6"/>
  <c r="C8" i="6"/>
  <c r="G8" i="6" s="1"/>
  <c r="C7" i="6"/>
  <c r="G55" i="6"/>
  <c r="G43" i="6"/>
  <c r="G21" i="6"/>
  <c r="G9" i="6"/>
  <c r="G10" i="6"/>
  <c r="G11" i="6"/>
  <c r="G12" i="6"/>
  <c r="G13" i="6"/>
  <c r="G14" i="6"/>
  <c r="G15" i="6"/>
  <c r="G16" i="6"/>
  <c r="G17" i="6"/>
  <c r="G18" i="6"/>
  <c r="G19" i="6"/>
  <c r="G22" i="6"/>
  <c r="G23" i="6"/>
  <c r="G24" i="6"/>
  <c r="G26" i="6"/>
  <c r="G28" i="6"/>
  <c r="G29" i="6"/>
  <c r="G31" i="6"/>
  <c r="G32" i="6"/>
  <c r="G34" i="6"/>
  <c r="G35" i="6"/>
  <c r="G36" i="6"/>
  <c r="G37" i="6"/>
  <c r="G39" i="6"/>
  <c r="G40" i="6"/>
  <c r="G41" i="6"/>
  <c r="G44" i="6"/>
  <c r="G45" i="6"/>
  <c r="G46" i="6"/>
  <c r="G48" i="6"/>
  <c r="G49" i="6"/>
  <c r="G50" i="6"/>
  <c r="G51" i="6"/>
  <c r="G52" i="6"/>
  <c r="G54" i="6"/>
  <c r="G56" i="6"/>
  <c r="G7" i="6"/>
  <c r="J52" i="6" l="1"/>
  <c r="K52" i="6" s="1"/>
  <c r="L52" i="6" s="1"/>
  <c r="J10" i="6"/>
  <c r="K10" i="6" s="1"/>
  <c r="L10" i="6" s="1"/>
  <c r="H70" i="6" l="1"/>
  <c r="I70" i="6"/>
  <c r="J13" i="6"/>
  <c r="K13" i="6" s="1"/>
  <c r="L13" i="6" s="1"/>
  <c r="G70" i="6" l="1"/>
  <c r="J55" i="6"/>
  <c r="K55" i="6" s="1"/>
  <c r="L55" i="6" s="1"/>
  <c r="J18" i="6" l="1"/>
  <c r="K18" i="6" s="1"/>
  <c r="L18" i="6" s="1"/>
  <c r="I71" i="6" l="1"/>
  <c r="H71" i="6"/>
  <c r="J30" i="6"/>
  <c r="K30" i="6" s="1"/>
  <c r="L30" i="6" s="1"/>
  <c r="J9" i="6" l="1"/>
  <c r="K9" i="6" s="1"/>
  <c r="L9" i="6" s="1"/>
  <c r="J36" i="6" l="1"/>
  <c r="K36" i="6" s="1"/>
  <c r="L36" i="6" s="1"/>
  <c r="J49" i="6" l="1"/>
  <c r="K49" i="6" s="1"/>
  <c r="L49" i="6" s="1"/>
  <c r="J24" i="6"/>
  <c r="K24" i="6" s="1"/>
  <c r="L24" i="6" s="1"/>
  <c r="J15" i="6" l="1"/>
  <c r="K15" i="6" s="1"/>
  <c r="L15" i="6" s="1"/>
  <c r="J12" i="6" l="1"/>
  <c r="K12" i="6" s="1"/>
  <c r="L12" i="6" s="1"/>
  <c r="J56" i="6"/>
  <c r="K56" i="6" s="1"/>
  <c r="L56" i="6" s="1"/>
  <c r="J51" i="6"/>
  <c r="K51" i="6" s="1"/>
  <c r="J48" i="6"/>
  <c r="K48" i="6" s="1"/>
  <c r="L48" i="6" s="1"/>
  <c r="J47" i="6"/>
  <c r="K47" i="6" s="1"/>
  <c r="L47" i="6" s="1"/>
  <c r="J46" i="6"/>
  <c r="K46" i="6" s="1"/>
  <c r="J43" i="6"/>
  <c r="K43" i="6" s="1"/>
  <c r="J42" i="6"/>
  <c r="K42" i="6" s="1"/>
  <c r="J41" i="6"/>
  <c r="K41" i="6" s="1"/>
  <c r="L41" i="6" s="1"/>
  <c r="J38" i="6"/>
  <c r="K38" i="6" s="1"/>
  <c r="L38" i="6" s="1"/>
  <c r="J34" i="6"/>
  <c r="K34" i="6" s="1"/>
  <c r="L34" i="6" s="1"/>
  <c r="J33" i="6"/>
  <c r="K33" i="6" s="1"/>
  <c r="L33" i="6" s="1"/>
  <c r="J32" i="6"/>
  <c r="K32" i="6" s="1"/>
  <c r="L32" i="6" s="1"/>
  <c r="J29" i="6"/>
  <c r="K29" i="6" s="1"/>
  <c r="L29" i="6" s="1"/>
  <c r="J28" i="6"/>
  <c r="K28" i="6" s="1"/>
  <c r="L28" i="6" s="1"/>
  <c r="J27" i="6"/>
  <c r="K27" i="6" s="1"/>
  <c r="L27" i="6" s="1"/>
  <c r="J25" i="6"/>
  <c r="K25" i="6" s="1"/>
  <c r="L25" i="6" s="1"/>
  <c r="J23" i="6"/>
  <c r="K23" i="6" s="1"/>
  <c r="L23" i="6" s="1"/>
  <c r="J22" i="6"/>
  <c r="K22" i="6" s="1"/>
  <c r="L22" i="6" s="1"/>
  <c r="J21" i="6"/>
  <c r="K21" i="6" s="1"/>
  <c r="L21" i="6" s="1"/>
  <c r="J19" i="6"/>
  <c r="K19" i="6" s="1"/>
  <c r="L19" i="6" s="1"/>
  <c r="J7" i="6"/>
  <c r="K7" i="6" s="1"/>
  <c r="L7" i="6" s="1"/>
  <c r="J40" i="6" l="1"/>
  <c r="K40" i="6" s="1"/>
  <c r="L40" i="6" s="1"/>
  <c r="J8" i="6"/>
  <c r="J54" i="6"/>
  <c r="K54" i="6" s="1"/>
  <c r="L54" i="6" s="1"/>
  <c r="J16" i="6"/>
  <c r="K16" i="6" s="1"/>
  <c r="L16" i="6" s="1"/>
  <c r="J50" i="6"/>
  <c r="K50" i="6" s="1"/>
  <c r="L50" i="6" s="1"/>
  <c r="J44" i="6"/>
  <c r="K44" i="6" s="1"/>
  <c r="L44" i="6" s="1"/>
  <c r="J45" i="6"/>
  <c r="K45" i="6" s="1"/>
  <c r="L45" i="6" s="1"/>
  <c r="J53" i="6"/>
  <c r="K53" i="6" s="1"/>
  <c r="L53" i="6" s="1"/>
  <c r="J11" i="6"/>
  <c r="K11" i="6" s="1"/>
  <c r="L11" i="6" s="1"/>
  <c r="J31" i="6"/>
  <c r="K31" i="6" s="1"/>
  <c r="L31" i="6" s="1"/>
  <c r="J26" i="6"/>
  <c r="K26" i="6" s="1"/>
  <c r="L26" i="6" s="1"/>
  <c r="J35" i="6"/>
  <c r="K35" i="6" s="1"/>
  <c r="L35" i="6" s="1"/>
  <c r="J39" i="6"/>
  <c r="K39" i="6" s="1"/>
  <c r="L39" i="6" s="1"/>
  <c r="J20" i="6"/>
  <c r="K20" i="6" s="1"/>
  <c r="L20" i="6" s="1"/>
  <c r="J17" i="6"/>
  <c r="K17" i="6" s="1"/>
  <c r="L17" i="6" s="1"/>
  <c r="J14" i="6"/>
  <c r="K14" i="6" s="1"/>
  <c r="L14" i="6" s="1"/>
  <c r="L43" i="6"/>
  <c r="L42" i="6"/>
  <c r="L46" i="6"/>
  <c r="J37" i="6"/>
  <c r="K37" i="6" s="1"/>
  <c r="L37" i="6" s="1"/>
  <c r="L51" i="6"/>
  <c r="G71" i="6" l="1"/>
  <c r="K8" i="6"/>
  <c r="L8" i="6" l="1"/>
  <c r="J70" i="6" l="1"/>
  <c r="J71" i="6" s="1"/>
</calcChain>
</file>

<file path=xl/sharedStrings.xml><?xml version="1.0" encoding="utf-8"?>
<sst xmlns="http://schemas.openxmlformats.org/spreadsheetml/2006/main" count="80" uniqueCount="77">
  <si>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</si>
  <si>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</si>
  <si>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</si>
  <si>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</si>
  <si>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</si>
  <si>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</si>
  <si>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</si>
  <si>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</si>
  <si>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</si>
  <si>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</si>
  <si>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</si>
  <si>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</si>
  <si>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</si>
  <si>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</si>
  <si>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</si>
  <si>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</si>
  <si>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</si>
  <si>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</si>
  <si>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</si>
  <si>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</si>
  <si>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</si>
  <si>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</si>
  <si>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</si>
  <si>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</si>
  <si>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</si>
  <si>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</si>
  <si>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</si>
  <si>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</si>
  <si>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</si>
  <si>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</si>
  <si>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</si>
  <si>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</si>
  <si>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</si>
  <si>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</si>
  <si>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</si>
  <si>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</si>
  <si>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</si>
  <si>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</si>
  <si>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</si>
  <si>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</si>
  <si>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</si>
  <si>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</si>
  <si>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</si>
  <si>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</si>
  <si>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</si>
  <si>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</si>
  <si>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</si>
  <si>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</si>
  <si>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</si>
  <si>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</si>
  <si>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</si>
  <si>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</si>
  <si>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</si>
  <si>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</si>
  <si>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</si>
  <si>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</si>
  <si>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TOTAL</t>
  </si>
  <si>
    <t>IRRF</t>
  </si>
  <si>
    <t>LIQUIDO</t>
  </si>
  <si>
    <t>ERYKA RENATA FERREIRA DE MELLO SENFF MAIA</t>
  </si>
  <si>
    <t>VICTORIA ROSSINI ANDREIU</t>
  </si>
  <si>
    <t>Gratificações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</si>
  <si>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</si>
  <si>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</si>
  <si>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</si>
  <si>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</si>
  <si>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</si>
  <si>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CARLOS ALBERTO JUNGLES DE CAMARGO</t>
  </si>
  <si>
    <t>SARA EMMANUELLE MARTINS SCARPETTA</t>
  </si>
  <si>
    <t>ANA PAULA ANBIEL GAIGNER</t>
  </si>
  <si>
    <t>A concessão do vale alimentação e/ou vale refeição aos funcionários do CRCPR é realizada por meio de cartão magnético. O benefício é disponibilizado mensalmente no valor de R$ 49,72 (quarenta e nove reais e setenta e dois centavos)</t>
  </si>
  <si>
    <t>recebidos por 22 dias mensais, descontando do funcionário o percentual de 0,50% (meio por cento) sobre o valor total dos vales fornecidos no período.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</si>
  <si>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transporte, pensão alimentícia, entre outros.</t>
    </r>
  </si>
  <si>
    <t xml:space="preserve">IRAN LUIZ CORDEIRO </t>
  </si>
  <si>
    <t>Médias</t>
  </si>
  <si>
    <t>1ª parc.13º Salário</t>
  </si>
  <si>
    <t>13º SALÁRIO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</si>
</sst>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0" xfId="0" applyNumberFormat="1" applyProtection="1">
      <protection locked="0"/>
    </xf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10" fillId="0" borderId="2" xfId="0" applyFont="1" applyBorder="1"/>
    <xf numFmtId="0" fontId="7" fillId="3" borderId="4" xfId="0" applyFont="1" applyFill="1" applyBorder="1" applyAlignment="1" applyProtection="1">
      <alignment horizontal="center"/>
      <protection locked="0"/>
    </xf>
    <xf numFmtId="0" fontId="7" fillId="3" borderId="5" xfId="0" applyFont="1" applyFill="1" applyBorder="1" applyAlignment="1" applyProtection="1">
      <alignment horizontal="center"/>
      <protection locked="0"/>
    </xf>
    <xf numFmtId="164" fontId="0" fillId="0" borderId="6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7" fillId="3" borderId="8" xfId="0" applyNumberFormat="1" applyFont="1" applyFill="1" applyBorder="1" applyProtection="1">
      <protection locked="0"/>
    </xf>
    <xf numFmtId="164" fontId="7" fillId="3" borderId="9" xfId="0" applyNumberFormat="1" applyFont="1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20" xfId="0" applyNumberFormat="1" applyBorder="1" applyProtection="1">
      <protection locked="0"/>
    </xf>
    <xf numFmtId="164" fontId="0" fillId="0" borderId="20" xfId="0" applyNumberFormat="1" applyBorder="1"/>
    <xf numFmtId="164" fontId="1" fillId="4" borderId="7" xfId="0" applyNumberFormat="1" applyFont="1" applyFill="1" applyBorder="1"/>
    <xf numFmtId="164" fontId="1" fillId="4" borderId="7" xfId="0" applyNumberFormat="1" applyFont="1" applyFill="1" applyBorder="1" applyProtection="1">
      <protection locked="0"/>
    </xf>
    <xf numFmtId="164" fontId="1" fillId="4" borderId="9" xfId="0" applyNumberFormat="1" applyFon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164" fontId="1" fillId="2" borderId="25" xfId="0" applyNumberFormat="1" applyFont="1" applyFill="1" applyBorder="1"/>
    <xf numFmtId="164" fontId="1" fillId="2" borderId="26" xfId="0" applyNumberFormat="1" applyFont="1" applyFill="1" applyBorder="1"/>
    <xf numFmtId="0" fontId="1" fillId="3" borderId="21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49" fontId="9" fillId="2" borderId="13" xfId="0" applyNumberFormat="1" applyFont="1" applyFill="1" applyBorder="1"/>
    <xf numFmtId="0" fontId="0" fillId="0" borderId="31" xfId="0" applyBorder="1"/>
    <xf numFmtId="164" fontId="1" fillId="4" borderId="32" xfId="0" applyNumberFormat="1" applyFont="1" applyFill="1" applyBorder="1" applyProtection="1">
      <protection locked="0"/>
    </xf>
    <xf numFmtId="164" fontId="0" fillId="0" borderId="30" xfId="0" applyNumberFormat="1" applyBorder="1" applyProtection="1">
      <protection locked="0"/>
    </xf>
    <xf numFmtId="164" fontId="0" fillId="0" borderId="30" xfId="0" applyNumberFormat="1" applyBorder="1"/>
    <xf numFmtId="164" fontId="1" fillId="2" borderId="33" xfId="0" applyNumberFormat="1" applyFont="1" applyFill="1" applyBorder="1"/>
    <xf numFmtId="0" fontId="1" fillId="3" borderId="27" xfId="0" applyFont="1" applyFill="1" applyBorder="1" applyAlignment="1">
      <alignment vertical="center"/>
    </xf>
    <xf numFmtId="0" fontId="1" fillId="3" borderId="21" xfId="0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 applyProtection="1">
      <alignment horizontal="center"/>
      <protection locked="0"/>
    </xf>
    <xf numFmtId="164" fontId="7" fillId="3" borderId="19" xfId="0" applyNumberFormat="1" applyFont="1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13" fillId="4" borderId="16" xfId="0" applyFont="1" applyFill="1" applyBorder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left"/>
      <protection locked="0"/>
    </xf>
    <xf numFmtId="0" fontId="13" fillId="4" borderId="17" xfId="0" applyFont="1" applyFill="1" applyBorder="1" applyAlignment="1" applyProtection="1">
      <alignment horizontal="left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5" xfId="0" applyFont="1" applyFill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29" xfId="0" applyNumberForma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5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" fillId="4" borderId="16" xfId="0" applyFont="1" applyFill="1" applyBorder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4" fillId="4" borderId="17" xfId="0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3" borderId="14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64" fontId="1" fillId="4" borderId="9" xfId="0" applyNumberFormat="1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3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N57" sqref="N57"/>
    </sheetView>
  </sheetViews>
  <sheetFormatPr defaultRowHeight="15" x14ac:dyDescent="0.25"/>
  <cols>
    <col min="1" max="1" width="3.7109375" customWidth="1"/>
    <col min="2" max="2" width="44.140625" bestFit="1" customWidth="1"/>
    <col min="3" max="3" width="13.28515625" bestFit="1" customWidth="1"/>
    <col min="4" max="4" width="12.5703125" bestFit="1" customWidth="1"/>
    <col min="5" max="5" width="8.140625" bestFit="1" customWidth="1"/>
    <col min="6" max="6" width="17.28515625" bestFit="1" customWidth="1"/>
    <col min="7" max="7" width="12.85546875" bestFit="1" customWidth="1"/>
    <col min="8" max="8" width="10.7109375" bestFit="1" customWidth="1"/>
    <col min="9" max="9" width="10.7109375" customWidth="1"/>
    <col min="10" max="11" width="10.140625" bestFit="1" customWidth="1"/>
    <col min="12" max="12" width="9.5703125" bestFit="1" customWidth="1"/>
    <col min="13" max="13" width="1.42578125" customWidth="1"/>
    <col min="14" max="14" width="15.85546875" bestFit="1" customWidth="1"/>
  </cols>
  <sheetData>
    <row r="1" spans="1:15" ht="16.5" x14ac:dyDescent="0.25">
      <c r="B1" s="67" t="s">
        <v>48</v>
      </c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5" ht="16.5" x14ac:dyDescent="0.25">
      <c r="B2" s="67" t="s">
        <v>49</v>
      </c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5" ht="4.5" customHeight="1" thickBot="1" x14ac:dyDescent="0.3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5" ht="19.5" thickBot="1" x14ac:dyDescent="0.35">
      <c r="B4" s="37" t="s">
        <v>76</v>
      </c>
      <c r="C4" s="9"/>
      <c r="D4" s="9"/>
      <c r="E4" s="9"/>
      <c r="F4" s="9"/>
      <c r="G4" s="9"/>
      <c r="H4" s="9"/>
      <c r="I4" s="9"/>
      <c r="J4" s="9"/>
      <c r="K4" s="9"/>
      <c r="L4" s="9"/>
    </row>
    <row r="5" spans="1:15" x14ac:dyDescent="0.25">
      <c r="B5" s="69" t="s">
        <v>47</v>
      </c>
      <c r="C5" s="71" t="s">
        <v>38</v>
      </c>
      <c r="D5" s="75" t="s">
        <v>61</v>
      </c>
      <c r="E5" s="71" t="s">
        <v>74</v>
      </c>
      <c r="F5" s="44" t="s">
        <v>62</v>
      </c>
      <c r="G5" s="27" t="s">
        <v>39</v>
      </c>
      <c r="H5" s="73" t="s">
        <v>41</v>
      </c>
      <c r="I5" s="71" t="s">
        <v>42</v>
      </c>
      <c r="J5" s="27" t="s">
        <v>43</v>
      </c>
      <c r="K5" s="16" t="s">
        <v>45</v>
      </c>
      <c r="L5" s="29" t="s">
        <v>39</v>
      </c>
    </row>
    <row r="6" spans="1:15" ht="15.75" thickBot="1" x14ac:dyDescent="0.3">
      <c r="B6" s="70"/>
      <c r="C6" s="72"/>
      <c r="D6" s="76"/>
      <c r="E6" s="72"/>
      <c r="F6" s="43" t="s">
        <v>75</v>
      </c>
      <c r="G6" s="28" t="s">
        <v>40</v>
      </c>
      <c r="H6" s="74"/>
      <c r="I6" s="72"/>
      <c r="J6" s="28" t="s">
        <v>44</v>
      </c>
      <c r="K6" s="17" t="s">
        <v>44</v>
      </c>
      <c r="L6" s="30" t="s">
        <v>46</v>
      </c>
    </row>
    <row r="7" spans="1:15" x14ac:dyDescent="0.25">
      <c r="A7">
        <v>1</v>
      </c>
      <c r="B7" s="23" t="s">
        <v>0</v>
      </c>
      <c r="C7" s="21">
        <f>5947.23+666.09</f>
        <v>6613.32</v>
      </c>
      <c r="D7" s="34">
        <v>2378.89</v>
      </c>
      <c r="E7" s="34">
        <v>132.41999999999999</v>
      </c>
      <c r="F7" s="34">
        <v>-2840.9</v>
      </c>
      <c r="G7" s="20">
        <f>SUM(C7:E7)</f>
        <v>9124.6299999999992</v>
      </c>
      <c r="H7" s="4">
        <v>1412.11</v>
      </c>
      <c r="I7" s="4">
        <v>828.38</v>
      </c>
      <c r="J7" s="2">
        <f t="shared" ref="J7:J13" si="0">G7-H7-I7-N7</f>
        <v>2840.8999999999996</v>
      </c>
      <c r="K7" s="2">
        <f t="shared" ref="K7:K56" si="1">SUM(H7:J7)</f>
        <v>5081.3899999999994</v>
      </c>
      <c r="L7" s="25">
        <f t="shared" ref="L7:L56" si="2">SUM(G7-K7)</f>
        <v>4043.24</v>
      </c>
      <c r="M7" s="31"/>
      <c r="N7" s="32">
        <v>4043.24</v>
      </c>
    </row>
    <row r="8" spans="1:15" x14ac:dyDescent="0.25">
      <c r="A8">
        <v>2</v>
      </c>
      <c r="B8" s="23" t="s">
        <v>1</v>
      </c>
      <c r="C8" s="21">
        <f>2827.07+226.17</f>
        <v>3053.2400000000002</v>
      </c>
      <c r="D8" s="34"/>
      <c r="E8" s="34"/>
      <c r="F8" s="34">
        <v>-1360.28</v>
      </c>
      <c r="G8" s="20">
        <f t="shared" ref="G8:G56" si="3">SUM(C8:E8)</f>
        <v>3053.2400000000002</v>
      </c>
      <c r="H8" s="4">
        <v>51.32</v>
      </c>
      <c r="I8" s="4">
        <v>275.38</v>
      </c>
      <c r="J8" s="2">
        <f t="shared" si="0"/>
        <v>1360.28</v>
      </c>
      <c r="K8" s="2">
        <f t="shared" si="1"/>
        <v>1686.98</v>
      </c>
      <c r="L8" s="25">
        <f t="shared" si="2"/>
        <v>1366.2600000000002</v>
      </c>
      <c r="M8" s="31"/>
      <c r="N8" s="32">
        <v>1366.26</v>
      </c>
    </row>
    <row r="9" spans="1:15" x14ac:dyDescent="0.25">
      <c r="A9">
        <v>3</v>
      </c>
      <c r="B9" s="23" t="s">
        <v>53</v>
      </c>
      <c r="C9" s="21">
        <f>2271.26+149.59</f>
        <v>2420.8500000000004</v>
      </c>
      <c r="D9" s="34">
        <v>1468.47</v>
      </c>
      <c r="E9" s="34">
        <v>63.25</v>
      </c>
      <c r="F9" s="34">
        <v>-1944.65</v>
      </c>
      <c r="G9" s="20">
        <f t="shared" si="3"/>
        <v>3952.5700000000006</v>
      </c>
      <c r="H9" s="4">
        <v>179.66</v>
      </c>
      <c r="I9" s="4">
        <v>389.53</v>
      </c>
      <c r="J9" s="2">
        <f t="shared" si="0"/>
        <v>1944.650000000001</v>
      </c>
      <c r="K9" s="2">
        <f t="shared" si="1"/>
        <v>2513.8400000000011</v>
      </c>
      <c r="L9" s="25">
        <f t="shared" si="2"/>
        <v>1438.7299999999996</v>
      </c>
      <c r="M9" s="31"/>
      <c r="N9" s="32">
        <v>1438.73</v>
      </c>
    </row>
    <row r="10" spans="1:15" x14ac:dyDescent="0.25">
      <c r="A10">
        <v>4</v>
      </c>
      <c r="B10" s="23" t="s">
        <v>69</v>
      </c>
      <c r="C10" s="21">
        <f>4659.14+55.91</f>
        <v>4715.05</v>
      </c>
      <c r="D10" s="34">
        <v>931.83</v>
      </c>
      <c r="E10" s="34"/>
      <c r="F10" s="34">
        <v>-2527.02</v>
      </c>
      <c r="G10" s="20">
        <f t="shared" si="3"/>
        <v>5646.88</v>
      </c>
      <c r="H10" s="4">
        <v>511.18</v>
      </c>
      <c r="I10" s="4">
        <v>626.73</v>
      </c>
      <c r="J10" s="2">
        <f t="shared" ref="J10" si="4">G10-H10-I10-N10</f>
        <v>844.03999999999951</v>
      </c>
      <c r="K10" s="2">
        <f t="shared" ref="K10" si="5">SUM(H10:J10)</f>
        <v>1981.9499999999996</v>
      </c>
      <c r="L10" s="25">
        <f t="shared" ref="L10" si="6">SUM(G10-K10)</f>
        <v>3664.9300000000003</v>
      </c>
      <c r="M10" s="31"/>
      <c r="N10" s="32">
        <v>3664.93</v>
      </c>
    </row>
    <row r="11" spans="1:15" x14ac:dyDescent="0.25">
      <c r="A11">
        <v>5</v>
      </c>
      <c r="B11" s="23" t="s">
        <v>2</v>
      </c>
      <c r="C11" s="21">
        <f>2922.46+379.92</f>
        <v>3302.38</v>
      </c>
      <c r="D11" s="34"/>
      <c r="E11" s="34">
        <v>2.44</v>
      </c>
      <c r="F11" s="34">
        <v>-1651.19</v>
      </c>
      <c r="G11" s="20">
        <f t="shared" si="3"/>
        <v>3304.82</v>
      </c>
      <c r="H11" s="4">
        <v>95.09</v>
      </c>
      <c r="I11" s="4">
        <v>305.57</v>
      </c>
      <c r="J11" s="2">
        <f t="shared" si="0"/>
        <v>1651.1899999999998</v>
      </c>
      <c r="K11" s="2">
        <f t="shared" si="1"/>
        <v>2051.85</v>
      </c>
      <c r="L11" s="25">
        <f>SUM(G11-K11)</f>
        <v>1252.9700000000003</v>
      </c>
      <c r="M11" s="31"/>
      <c r="N11" s="32">
        <v>1252.97</v>
      </c>
      <c r="O11" s="1"/>
    </row>
    <row r="12" spans="1:15" x14ac:dyDescent="0.25">
      <c r="A12">
        <v>6</v>
      </c>
      <c r="B12" s="23" t="s">
        <v>3</v>
      </c>
      <c r="C12" s="21">
        <f>3495.94+908.94</f>
        <v>4404.88</v>
      </c>
      <c r="D12" s="34"/>
      <c r="E12" s="34"/>
      <c r="F12" s="34">
        <v>-2184.96</v>
      </c>
      <c r="G12" s="20">
        <f t="shared" si="3"/>
        <v>4404.88</v>
      </c>
      <c r="H12" s="4">
        <v>253.08</v>
      </c>
      <c r="I12" s="4">
        <v>452.85</v>
      </c>
      <c r="J12" s="2">
        <f t="shared" si="0"/>
        <v>2184.96</v>
      </c>
      <c r="K12" s="2">
        <f t="shared" si="1"/>
        <v>2890.8900000000003</v>
      </c>
      <c r="L12" s="25">
        <f t="shared" si="2"/>
        <v>1513.9899999999998</v>
      </c>
      <c r="M12" s="31"/>
      <c r="N12" s="32">
        <v>1513.99</v>
      </c>
    </row>
    <row r="13" spans="1:15" x14ac:dyDescent="0.25">
      <c r="A13">
        <v>7</v>
      </c>
      <c r="B13" s="23" t="s">
        <v>67</v>
      </c>
      <c r="C13" s="21">
        <f>4659.14+55.91</f>
        <v>4715.05</v>
      </c>
      <c r="D13" s="34">
        <v>931.83</v>
      </c>
      <c r="E13" s="34"/>
      <c r="F13" s="34">
        <v>-2823.43</v>
      </c>
      <c r="G13" s="20">
        <f t="shared" si="3"/>
        <v>5646.88</v>
      </c>
      <c r="H13" s="4">
        <v>511.18</v>
      </c>
      <c r="I13" s="4">
        <v>626.73</v>
      </c>
      <c r="J13" s="2">
        <f t="shared" si="0"/>
        <v>2823.4299999999994</v>
      </c>
      <c r="K13" s="2">
        <f t="shared" si="1"/>
        <v>3961.3399999999992</v>
      </c>
      <c r="L13" s="25">
        <f t="shared" si="2"/>
        <v>1685.5400000000009</v>
      </c>
      <c r="M13" s="31"/>
      <c r="N13" s="32">
        <v>1685.54</v>
      </c>
    </row>
    <row r="14" spans="1:15" x14ac:dyDescent="0.25">
      <c r="A14">
        <v>8</v>
      </c>
      <c r="B14" s="23" t="s">
        <v>4</v>
      </c>
      <c r="C14" s="21">
        <f>13962.05+7330.08</f>
        <v>21292.129999999997</v>
      </c>
      <c r="D14" s="34">
        <f>1396.21+5584.82</f>
        <v>6981.03</v>
      </c>
      <c r="E14" s="34">
        <f>15.13+63.25</f>
        <v>78.38</v>
      </c>
      <c r="F14" s="34">
        <v>-12435.03</v>
      </c>
      <c r="G14" s="20">
        <f t="shared" si="3"/>
        <v>28351.539999999997</v>
      </c>
      <c r="H14" s="4">
        <v>6699.51</v>
      </c>
      <c r="I14" s="4">
        <v>828.38</v>
      </c>
      <c r="J14" s="2">
        <f>G14-H14-I14-N14</f>
        <v>12435.029999999997</v>
      </c>
      <c r="K14" s="2">
        <f t="shared" si="1"/>
        <v>19962.919999999998</v>
      </c>
      <c r="L14" s="25">
        <f t="shared" si="2"/>
        <v>8388.619999999999</v>
      </c>
      <c r="M14" s="31"/>
      <c r="N14" s="32">
        <v>8388.6200000000008</v>
      </c>
    </row>
    <row r="15" spans="1:15" x14ac:dyDescent="0.25">
      <c r="A15">
        <v>9</v>
      </c>
      <c r="B15" s="23" t="s">
        <v>5</v>
      </c>
      <c r="C15" s="21">
        <f>13962.05+4495.78</f>
        <v>18457.829999999998</v>
      </c>
      <c r="D15" s="34">
        <v>5584.82</v>
      </c>
      <c r="E15" s="34"/>
      <c r="F15" s="34">
        <v>-10759.27</v>
      </c>
      <c r="G15" s="20">
        <f t="shared" si="3"/>
        <v>24042.649999999998</v>
      </c>
      <c r="H15" s="4">
        <v>5514.56</v>
      </c>
      <c r="I15" s="4">
        <v>828.38</v>
      </c>
      <c r="J15" s="2">
        <f t="shared" ref="J15:J38" si="7">G15-H15-I15-N15</f>
        <v>10759.269999999997</v>
      </c>
      <c r="K15" s="2">
        <f t="shared" si="1"/>
        <v>17102.21</v>
      </c>
      <c r="L15" s="25">
        <f t="shared" si="2"/>
        <v>6940.4399999999987</v>
      </c>
      <c r="M15" s="31"/>
      <c r="N15" s="32">
        <v>6940.44</v>
      </c>
    </row>
    <row r="16" spans="1:15" x14ac:dyDescent="0.25">
      <c r="A16">
        <v>10</v>
      </c>
      <c r="B16" s="23" t="s">
        <v>6</v>
      </c>
      <c r="C16" s="21">
        <f>2881.37+381.59</f>
        <v>3262.96</v>
      </c>
      <c r="D16" s="34">
        <v>1468.47</v>
      </c>
      <c r="E16" s="34"/>
      <c r="F16" s="34">
        <v>-1351.83</v>
      </c>
      <c r="G16" s="20">
        <f t="shared" si="3"/>
        <v>4731.43</v>
      </c>
      <c r="H16" s="4">
        <v>294.98</v>
      </c>
      <c r="I16" s="4">
        <v>483.17</v>
      </c>
      <c r="J16" s="2">
        <f t="shared" si="7"/>
        <v>1461.8300000000008</v>
      </c>
      <c r="K16" s="2">
        <f t="shared" si="1"/>
        <v>2239.9800000000009</v>
      </c>
      <c r="L16" s="25">
        <f t="shared" si="2"/>
        <v>2491.4499999999994</v>
      </c>
      <c r="M16" s="31"/>
      <c r="N16" s="32">
        <v>2491.4499999999998</v>
      </c>
    </row>
    <row r="17" spans="1:14" x14ac:dyDescent="0.25">
      <c r="A17">
        <v>11</v>
      </c>
      <c r="B17" s="23" t="s">
        <v>7</v>
      </c>
      <c r="C17" s="21">
        <f>2211.97+619.35</f>
        <v>2831.3199999999997</v>
      </c>
      <c r="D17" s="34"/>
      <c r="E17" s="34"/>
      <c r="F17" s="34">
        <v>-1404.59</v>
      </c>
      <c r="G17" s="20">
        <f t="shared" si="3"/>
        <v>2831.3199999999997</v>
      </c>
      <c r="H17" s="4">
        <v>50.89</v>
      </c>
      <c r="I17" s="4">
        <v>248.75</v>
      </c>
      <c r="J17" s="2">
        <f t="shared" si="7"/>
        <v>1404.59</v>
      </c>
      <c r="K17" s="2">
        <f t="shared" si="1"/>
        <v>1704.23</v>
      </c>
      <c r="L17" s="25">
        <f t="shared" si="2"/>
        <v>1127.0899999999997</v>
      </c>
      <c r="M17" s="31"/>
      <c r="N17" s="32">
        <v>1127.0899999999999</v>
      </c>
    </row>
    <row r="18" spans="1:14" x14ac:dyDescent="0.25">
      <c r="A18">
        <v>12</v>
      </c>
      <c r="B18" s="23" t="s">
        <v>59</v>
      </c>
      <c r="C18" s="21">
        <f>3231.21+96.94</f>
        <v>3328.15</v>
      </c>
      <c r="D18" s="34"/>
      <c r="E18" s="34">
        <v>39.35</v>
      </c>
      <c r="F18" s="34">
        <v>-1664.08</v>
      </c>
      <c r="G18" s="20">
        <f t="shared" si="3"/>
        <v>3367.5</v>
      </c>
      <c r="H18" s="4">
        <v>74.92</v>
      </c>
      <c r="I18" s="4">
        <v>313.08999999999997</v>
      </c>
      <c r="J18" s="2">
        <f t="shared" si="7"/>
        <v>1664.0799999999997</v>
      </c>
      <c r="K18" s="2">
        <f t="shared" si="1"/>
        <v>2052.0899999999997</v>
      </c>
      <c r="L18" s="25">
        <f t="shared" si="2"/>
        <v>1315.4100000000003</v>
      </c>
      <c r="M18" s="31"/>
      <c r="N18" s="32">
        <v>1315.41</v>
      </c>
    </row>
    <row r="19" spans="1:14" x14ac:dyDescent="0.25">
      <c r="A19">
        <v>13</v>
      </c>
      <c r="B19" s="23" t="s">
        <v>8</v>
      </c>
      <c r="C19" s="21">
        <f>5915.87+1416.45</f>
        <v>7332.32</v>
      </c>
      <c r="D19" s="34">
        <v>2936.92</v>
      </c>
      <c r="E19" s="34"/>
      <c r="F19" s="34">
        <v>-5090.3599999999997</v>
      </c>
      <c r="G19" s="20">
        <f t="shared" si="3"/>
        <v>10269.24</v>
      </c>
      <c r="H19" s="4">
        <v>1570.46</v>
      </c>
      <c r="I19" s="4">
        <v>828.38</v>
      </c>
      <c r="J19" s="2">
        <f t="shared" si="7"/>
        <v>5090.3599999999988</v>
      </c>
      <c r="K19" s="2">
        <f t="shared" si="1"/>
        <v>7489.1999999999989</v>
      </c>
      <c r="L19" s="25">
        <f t="shared" si="2"/>
        <v>2780.0400000000009</v>
      </c>
      <c r="M19" s="31"/>
      <c r="N19" s="32">
        <v>2780.04</v>
      </c>
    </row>
    <row r="20" spans="1:14" x14ac:dyDescent="0.25">
      <c r="A20">
        <v>14</v>
      </c>
      <c r="B20" s="23" t="s">
        <v>9</v>
      </c>
      <c r="C20" s="21">
        <f>2771.37+277.14</f>
        <v>3048.5099999999998</v>
      </c>
      <c r="D20" s="34"/>
      <c r="E20" s="34"/>
      <c r="F20" s="34">
        <v>-1524.26</v>
      </c>
      <c r="G20" s="20">
        <f t="shared" si="3"/>
        <v>3048.5099999999998</v>
      </c>
      <c r="H20" s="4">
        <v>65.23</v>
      </c>
      <c r="I20" s="4">
        <v>274.81</v>
      </c>
      <c r="J20" s="2">
        <f t="shared" si="7"/>
        <v>1524.2599999999998</v>
      </c>
      <c r="K20" s="2">
        <f t="shared" si="1"/>
        <v>1864.2999999999997</v>
      </c>
      <c r="L20" s="25">
        <f t="shared" si="2"/>
        <v>1184.21</v>
      </c>
      <c r="M20" s="31"/>
      <c r="N20" s="32">
        <v>1184.21</v>
      </c>
    </row>
    <row r="21" spans="1:14" x14ac:dyDescent="0.25">
      <c r="A21">
        <v>15</v>
      </c>
      <c r="B21" s="23" t="s">
        <v>10</v>
      </c>
      <c r="C21" s="21">
        <f>15270.08+9330.02</f>
        <v>24600.1</v>
      </c>
      <c r="D21" s="34">
        <v>20614.61</v>
      </c>
      <c r="E21" s="34"/>
      <c r="F21" s="34">
        <v>-20073.349999999999</v>
      </c>
      <c r="G21" s="20">
        <f t="shared" si="3"/>
        <v>45214.71</v>
      </c>
      <c r="H21" s="4">
        <v>9708.5</v>
      </c>
      <c r="I21" s="4">
        <v>828.38</v>
      </c>
      <c r="J21" s="2">
        <f t="shared" si="7"/>
        <v>25994.74</v>
      </c>
      <c r="K21" s="2">
        <f t="shared" si="1"/>
        <v>36531.620000000003</v>
      </c>
      <c r="L21" s="25">
        <f t="shared" si="2"/>
        <v>8683.0899999999965</v>
      </c>
      <c r="M21" s="31"/>
      <c r="N21" s="32">
        <v>8683.09</v>
      </c>
    </row>
    <row r="22" spans="1:14" x14ac:dyDescent="0.25">
      <c r="A22">
        <v>16</v>
      </c>
      <c r="B22" s="23" t="s">
        <v>11</v>
      </c>
      <c r="C22" s="21">
        <f>13962.05+4691.25</f>
        <v>18653.3</v>
      </c>
      <c r="D22" s="34">
        <v>2792.41</v>
      </c>
      <c r="E22" s="34"/>
      <c r="F22" s="34">
        <v>-9428.35</v>
      </c>
      <c r="G22" s="20">
        <f t="shared" si="3"/>
        <v>21445.71</v>
      </c>
      <c r="H22" s="4">
        <v>4748.2700000000004</v>
      </c>
      <c r="I22" s="4">
        <v>828.38</v>
      </c>
      <c r="J22" s="2">
        <f t="shared" si="7"/>
        <v>9428.3499999999985</v>
      </c>
      <c r="K22" s="2">
        <f t="shared" si="1"/>
        <v>15005</v>
      </c>
      <c r="L22" s="25">
        <f t="shared" si="2"/>
        <v>6440.7099999999991</v>
      </c>
      <c r="M22" s="31"/>
      <c r="N22" s="32">
        <v>6440.71</v>
      </c>
    </row>
    <row r="23" spans="1:14" x14ac:dyDescent="0.25">
      <c r="A23">
        <v>17</v>
      </c>
      <c r="B23" s="23" t="s">
        <v>12</v>
      </c>
      <c r="C23" s="21">
        <f>6143.34+1474.4</f>
        <v>7617.74</v>
      </c>
      <c r="D23" s="34"/>
      <c r="E23" s="34"/>
      <c r="F23" s="34">
        <v>-3366.5</v>
      </c>
      <c r="G23" s="20">
        <f t="shared" si="3"/>
        <v>7617.74</v>
      </c>
      <c r="H23" s="4">
        <v>893.44</v>
      </c>
      <c r="I23" s="4">
        <v>828.38</v>
      </c>
      <c r="J23" s="2">
        <f t="shared" si="7"/>
        <v>3366.4999999999991</v>
      </c>
      <c r="K23" s="2">
        <f t="shared" si="1"/>
        <v>5088.32</v>
      </c>
      <c r="L23" s="25">
        <f t="shared" si="2"/>
        <v>2529.42</v>
      </c>
      <c r="M23" s="31"/>
      <c r="N23" s="32">
        <v>2529.42</v>
      </c>
    </row>
    <row r="24" spans="1:14" x14ac:dyDescent="0.25">
      <c r="A24">
        <v>18</v>
      </c>
      <c r="B24" s="23" t="s">
        <v>50</v>
      </c>
      <c r="C24" s="21">
        <f>3362.41+168.12</f>
        <v>3530.5299999999997</v>
      </c>
      <c r="D24" s="34"/>
      <c r="E24" s="34">
        <v>63.25</v>
      </c>
      <c r="F24" s="34">
        <v>-1748.46</v>
      </c>
      <c r="G24" s="20">
        <f t="shared" si="3"/>
        <v>3593.7799999999997</v>
      </c>
      <c r="H24" s="4">
        <v>133.22999999999999</v>
      </c>
      <c r="I24" s="4">
        <v>340.25</v>
      </c>
      <c r="J24" s="2">
        <f t="shared" si="7"/>
        <v>1748.4599999999998</v>
      </c>
      <c r="K24" s="2">
        <f t="shared" si="1"/>
        <v>2221.9399999999996</v>
      </c>
      <c r="L24" s="25">
        <f t="shared" si="2"/>
        <v>1371.8400000000001</v>
      </c>
      <c r="M24" s="31"/>
      <c r="N24" s="32">
        <v>1371.84</v>
      </c>
    </row>
    <row r="25" spans="1:14" x14ac:dyDescent="0.25">
      <c r="A25">
        <v>19</v>
      </c>
      <c r="B25" s="23" t="s">
        <v>73</v>
      </c>
      <c r="C25" s="21">
        <f>12798.55+4300.31</f>
        <v>17098.86</v>
      </c>
      <c r="D25" s="34">
        <v>2559.71</v>
      </c>
      <c r="E25" s="34"/>
      <c r="F25" s="34">
        <v>-9829.27</v>
      </c>
      <c r="G25" s="20">
        <f t="shared" si="3"/>
        <v>19658.57</v>
      </c>
      <c r="H25" s="4">
        <v>4256.8</v>
      </c>
      <c r="I25" s="4">
        <v>828.38</v>
      </c>
      <c r="J25" s="2">
        <f t="shared" si="7"/>
        <v>11252.500000000002</v>
      </c>
      <c r="K25" s="2">
        <f t="shared" si="1"/>
        <v>16337.680000000002</v>
      </c>
      <c r="L25" s="25">
        <f t="shared" si="2"/>
        <v>3320.8899999999976</v>
      </c>
      <c r="M25" s="31"/>
      <c r="N25" s="32">
        <v>3320.89</v>
      </c>
    </row>
    <row r="26" spans="1:14" x14ac:dyDescent="0.25">
      <c r="A26">
        <v>20</v>
      </c>
      <c r="B26" s="23" t="s">
        <v>13</v>
      </c>
      <c r="C26" s="21">
        <f>6143.34+1965.87</f>
        <v>8109.21</v>
      </c>
      <c r="D26" s="34"/>
      <c r="E26" s="34"/>
      <c r="F26" s="34">
        <v>-4023.89</v>
      </c>
      <c r="G26" s="20">
        <f t="shared" si="3"/>
        <v>8109.21</v>
      </c>
      <c r="H26" s="4">
        <v>1080.73</v>
      </c>
      <c r="I26" s="4">
        <v>828.38</v>
      </c>
      <c r="J26" s="2">
        <f t="shared" si="7"/>
        <v>4023.8899999999994</v>
      </c>
      <c r="K26" s="2">
        <f t="shared" si="1"/>
        <v>5933</v>
      </c>
      <c r="L26" s="25">
        <f>SUM(G26-K26)</f>
        <v>2176.21</v>
      </c>
      <c r="M26" s="31"/>
      <c r="N26" s="32">
        <v>2176.21</v>
      </c>
    </row>
    <row r="27" spans="1:14" x14ac:dyDescent="0.25">
      <c r="A27">
        <v>21</v>
      </c>
      <c r="B27" s="23" t="s">
        <v>14</v>
      </c>
      <c r="C27" s="21">
        <f>8831.72</f>
        <v>8831.7199999999993</v>
      </c>
      <c r="D27" s="34"/>
      <c r="E27" s="34"/>
      <c r="F27" s="34">
        <v>-4415.8599999999997</v>
      </c>
      <c r="G27" s="20">
        <f t="shared" si="3"/>
        <v>8831.7199999999993</v>
      </c>
      <c r="H27" s="4">
        <v>1331.56</v>
      </c>
      <c r="I27" s="4">
        <v>828.38</v>
      </c>
      <c r="J27" s="2">
        <f t="shared" si="7"/>
        <v>4415.8599999999997</v>
      </c>
      <c r="K27" s="2">
        <f t="shared" si="1"/>
        <v>6575.7999999999993</v>
      </c>
      <c r="L27" s="25">
        <f t="shared" si="2"/>
        <v>2255.92</v>
      </c>
      <c r="M27" s="31"/>
      <c r="N27" s="32">
        <v>2255.92</v>
      </c>
    </row>
    <row r="28" spans="1:14" x14ac:dyDescent="0.25">
      <c r="A28">
        <v>22</v>
      </c>
      <c r="B28" s="23" t="s">
        <v>15</v>
      </c>
      <c r="C28" s="21">
        <f>5076.08+1439.8</f>
        <v>6515.88</v>
      </c>
      <c r="D28" s="34">
        <v>1468.47</v>
      </c>
      <c r="E28" s="34"/>
      <c r="F28" s="34">
        <v>-3567.15</v>
      </c>
      <c r="G28" s="20">
        <f t="shared" si="3"/>
        <v>7984.35</v>
      </c>
      <c r="H28" s="4">
        <v>994.26</v>
      </c>
      <c r="I28" s="4">
        <v>828.38</v>
      </c>
      <c r="J28" s="2">
        <f t="shared" si="7"/>
        <v>3567.15</v>
      </c>
      <c r="K28" s="2">
        <f t="shared" si="1"/>
        <v>5389.79</v>
      </c>
      <c r="L28" s="25">
        <f t="shared" si="2"/>
        <v>2594.5600000000004</v>
      </c>
      <c r="M28" s="31"/>
      <c r="N28" s="32">
        <v>2594.56</v>
      </c>
    </row>
    <row r="29" spans="1:14" x14ac:dyDescent="0.25">
      <c r="A29">
        <v>23</v>
      </c>
      <c r="B29" s="23" t="s">
        <v>16</v>
      </c>
      <c r="C29" s="21">
        <f>5631.73+1858.47</f>
        <v>7490.2</v>
      </c>
      <c r="D29" s="34"/>
      <c r="E29" s="34">
        <v>22.53</v>
      </c>
      <c r="F29" s="34">
        <v>-3716.95</v>
      </c>
      <c r="G29" s="20">
        <f t="shared" si="3"/>
        <v>7512.73</v>
      </c>
      <c r="H29" s="4">
        <v>968.84</v>
      </c>
      <c r="I29" s="4">
        <v>828.38</v>
      </c>
      <c r="J29" s="2">
        <f t="shared" si="7"/>
        <v>3716.9499999999994</v>
      </c>
      <c r="K29" s="2">
        <f t="shared" si="1"/>
        <v>5514.1699999999992</v>
      </c>
      <c r="L29" s="25">
        <f t="shared" si="2"/>
        <v>1998.5600000000004</v>
      </c>
      <c r="M29" s="31"/>
      <c r="N29" s="32">
        <v>1998.56</v>
      </c>
    </row>
    <row r="30" spans="1:14" x14ac:dyDescent="0.25">
      <c r="A30">
        <v>24</v>
      </c>
      <c r="B30" s="23" t="s">
        <v>54</v>
      </c>
      <c r="C30" s="21">
        <f>5277.86+211.11</f>
        <v>5488.9699999999993</v>
      </c>
      <c r="D30" s="34"/>
      <c r="E30" s="34">
        <v>36.590000000000003</v>
      </c>
      <c r="F30" s="34">
        <v>-2744.49</v>
      </c>
      <c r="G30" s="20">
        <f t="shared" si="3"/>
        <v>5525.5599999999995</v>
      </c>
      <c r="H30" s="4">
        <v>482.49</v>
      </c>
      <c r="I30" s="4">
        <v>609.75</v>
      </c>
      <c r="J30" s="2">
        <f t="shared" ref="J30" si="8">G30-H30-I30-N30</f>
        <v>2744.49</v>
      </c>
      <c r="K30" s="2">
        <f t="shared" ref="K30" si="9">SUM(H30:J30)</f>
        <v>3836.7299999999996</v>
      </c>
      <c r="L30" s="25">
        <f>SUM(G30-K30)</f>
        <v>1688.83</v>
      </c>
      <c r="M30" s="31"/>
      <c r="N30" s="32">
        <v>1688.83</v>
      </c>
    </row>
    <row r="31" spans="1:14" x14ac:dyDescent="0.25">
      <c r="A31">
        <v>25</v>
      </c>
      <c r="B31" s="23" t="s">
        <v>17</v>
      </c>
      <c r="C31" s="21">
        <v>2619.25</v>
      </c>
      <c r="D31" s="34"/>
      <c r="E31" s="34"/>
      <c r="F31" s="34">
        <v>-1163.04</v>
      </c>
      <c r="G31" s="20">
        <f t="shared" si="3"/>
        <v>2619.25</v>
      </c>
      <c r="H31" s="4">
        <v>36.9</v>
      </c>
      <c r="I31" s="4">
        <v>223.3</v>
      </c>
      <c r="J31" s="2">
        <f t="shared" si="7"/>
        <v>1163.0399999999997</v>
      </c>
      <c r="K31" s="2">
        <f t="shared" si="1"/>
        <v>1423.2399999999998</v>
      </c>
      <c r="L31" s="25">
        <f>SUM(G31-K31)</f>
        <v>1196.0100000000002</v>
      </c>
      <c r="M31" s="31"/>
      <c r="N31" s="32">
        <v>1196.01</v>
      </c>
    </row>
    <row r="32" spans="1:14" x14ac:dyDescent="0.25">
      <c r="A32">
        <v>26</v>
      </c>
      <c r="B32" s="23" t="s">
        <v>18</v>
      </c>
      <c r="C32" s="21">
        <f>5915.87+993.87</f>
        <v>6909.74</v>
      </c>
      <c r="D32" s="34">
        <v>1183.17</v>
      </c>
      <c r="E32" s="34"/>
      <c r="F32" s="34">
        <v>-3576.12</v>
      </c>
      <c r="G32" s="20">
        <f t="shared" si="3"/>
        <v>8092.91</v>
      </c>
      <c r="H32" s="4">
        <v>1128.3900000000001</v>
      </c>
      <c r="I32" s="4">
        <v>828.38</v>
      </c>
      <c r="J32" s="2">
        <f t="shared" si="7"/>
        <v>3576.1199999999994</v>
      </c>
      <c r="K32" s="2">
        <f t="shared" si="1"/>
        <v>5532.8899999999994</v>
      </c>
      <c r="L32" s="25">
        <f t="shared" si="2"/>
        <v>2560.0200000000004</v>
      </c>
      <c r="M32" s="31"/>
      <c r="N32" s="32">
        <v>2560.02</v>
      </c>
    </row>
    <row r="33" spans="1:14" x14ac:dyDescent="0.25">
      <c r="A33">
        <v>27</v>
      </c>
      <c r="B33" s="23" t="s">
        <v>19</v>
      </c>
      <c r="C33" s="21">
        <f>13962.05+4356.16</f>
        <v>18318.21</v>
      </c>
      <c r="D33" s="34">
        <v>2792.41</v>
      </c>
      <c r="E33" s="34"/>
      <c r="F33" s="34">
        <v>-9279.8799999999992</v>
      </c>
      <c r="G33" s="20">
        <f t="shared" si="3"/>
        <v>21110.62</v>
      </c>
      <c r="H33" s="4">
        <v>4656.12</v>
      </c>
      <c r="I33" s="4">
        <v>828.38</v>
      </c>
      <c r="J33" s="2">
        <f t="shared" si="7"/>
        <v>9279.880000000001</v>
      </c>
      <c r="K33" s="2">
        <f t="shared" si="1"/>
        <v>14764.380000000001</v>
      </c>
      <c r="L33" s="25">
        <f t="shared" si="2"/>
        <v>6346.239999999998</v>
      </c>
      <c r="M33" s="31"/>
      <c r="N33" s="32">
        <v>6346.24</v>
      </c>
    </row>
    <row r="34" spans="1:14" x14ac:dyDescent="0.25">
      <c r="A34">
        <v>28</v>
      </c>
      <c r="B34" s="23" t="s">
        <v>55</v>
      </c>
      <c r="C34" s="21">
        <f>5799.31+835.1</f>
        <v>6634.4100000000008</v>
      </c>
      <c r="D34" s="34">
        <v>1159.8599999999999</v>
      </c>
      <c r="E34" s="34">
        <v>6.67</v>
      </c>
      <c r="F34" s="34">
        <v>-3480.34</v>
      </c>
      <c r="G34" s="20">
        <f t="shared" si="3"/>
        <v>7800.9400000000005</v>
      </c>
      <c r="H34" s="4">
        <v>1048.0899999999999</v>
      </c>
      <c r="I34" s="4">
        <v>828.38</v>
      </c>
      <c r="J34" s="2">
        <f t="shared" si="7"/>
        <v>3480.34</v>
      </c>
      <c r="K34" s="2">
        <f t="shared" si="1"/>
        <v>5356.8099999999995</v>
      </c>
      <c r="L34" s="25">
        <f t="shared" si="2"/>
        <v>2444.130000000001</v>
      </c>
      <c r="M34" s="31"/>
      <c r="N34" s="32">
        <v>2444.13</v>
      </c>
    </row>
    <row r="35" spans="1:14" x14ac:dyDescent="0.25">
      <c r="A35">
        <v>29</v>
      </c>
      <c r="B35" s="23" t="s">
        <v>20</v>
      </c>
      <c r="C35" s="21">
        <f>5517.84+529.71</f>
        <v>6047.55</v>
      </c>
      <c r="D35" s="34">
        <v>1103.57</v>
      </c>
      <c r="E35" s="34"/>
      <c r="F35" s="34">
        <v>-3177.66</v>
      </c>
      <c r="G35" s="20">
        <f t="shared" si="3"/>
        <v>7151.12</v>
      </c>
      <c r="H35" s="4">
        <v>765.12</v>
      </c>
      <c r="I35" s="4">
        <v>828.38</v>
      </c>
      <c r="J35" s="2">
        <f t="shared" si="7"/>
        <v>3177.66</v>
      </c>
      <c r="K35" s="2">
        <f t="shared" si="1"/>
        <v>4771.16</v>
      </c>
      <c r="L35" s="25">
        <f>SUM(G35-K35)</f>
        <v>2379.96</v>
      </c>
      <c r="M35" s="31"/>
      <c r="N35" s="32">
        <v>2379.96</v>
      </c>
    </row>
    <row r="36" spans="1:14" x14ac:dyDescent="0.25">
      <c r="A36">
        <v>30</v>
      </c>
      <c r="B36" s="23" t="s">
        <v>52</v>
      </c>
      <c r="C36" s="21">
        <v>2384.8200000000002</v>
      </c>
      <c r="D36" s="34"/>
      <c r="E36" s="34"/>
      <c r="F36" s="34">
        <v>-1181.06</v>
      </c>
      <c r="G36" s="20">
        <f t="shared" si="3"/>
        <v>2384.8200000000002</v>
      </c>
      <c r="H36" s="4">
        <v>21.33</v>
      </c>
      <c r="I36" s="4">
        <v>196.45</v>
      </c>
      <c r="J36" s="2">
        <f t="shared" ref="J36" si="10">G36-H36-I36-N36</f>
        <v>1181.0600000000004</v>
      </c>
      <c r="K36" s="2">
        <f t="shared" ref="K36" si="11">SUM(H36:J36)</f>
        <v>1398.8400000000004</v>
      </c>
      <c r="L36" s="25">
        <f t="shared" ref="L36" si="12">SUM(G36-K36)</f>
        <v>985.97999999999979</v>
      </c>
      <c r="M36" s="31"/>
      <c r="N36" s="32">
        <v>985.98</v>
      </c>
    </row>
    <row r="37" spans="1:14" x14ac:dyDescent="0.25">
      <c r="A37">
        <v>31</v>
      </c>
      <c r="B37" s="23" t="s">
        <v>21</v>
      </c>
      <c r="C37" s="21">
        <f>3282.15+426.68</f>
        <v>3708.83</v>
      </c>
      <c r="D37" s="34"/>
      <c r="E37" s="34">
        <v>1.0900000000000001</v>
      </c>
      <c r="F37" s="34">
        <v>-1854.42</v>
      </c>
      <c r="G37" s="20">
        <f t="shared" si="3"/>
        <v>3709.92</v>
      </c>
      <c r="H37" s="4">
        <v>148.35</v>
      </c>
      <c r="I37" s="4">
        <v>355.56</v>
      </c>
      <c r="J37" s="2">
        <f t="shared" si="7"/>
        <v>1854.4200000000003</v>
      </c>
      <c r="K37" s="2">
        <f t="shared" si="1"/>
        <v>2358.3300000000004</v>
      </c>
      <c r="L37" s="25">
        <f t="shared" si="2"/>
        <v>1351.5899999999997</v>
      </c>
      <c r="M37" s="31"/>
      <c r="N37" s="32">
        <v>1351.59</v>
      </c>
    </row>
    <row r="38" spans="1:14" x14ac:dyDescent="0.25">
      <c r="A38">
        <v>32</v>
      </c>
      <c r="B38" s="23" t="s">
        <v>22</v>
      </c>
      <c r="C38" s="21">
        <f>13962.05+4523.7</f>
        <v>18485.75</v>
      </c>
      <c r="D38" s="34">
        <v>2792.41</v>
      </c>
      <c r="E38" s="34"/>
      <c r="F38" s="34">
        <v>-9354.11</v>
      </c>
      <c r="G38" s="20">
        <f t="shared" si="3"/>
        <v>21278.16</v>
      </c>
      <c r="H38" s="4">
        <v>4650.05</v>
      </c>
      <c r="I38" s="4">
        <v>828.38</v>
      </c>
      <c r="J38" s="2">
        <f t="shared" si="7"/>
        <v>9354.11</v>
      </c>
      <c r="K38" s="2">
        <f t="shared" si="1"/>
        <v>14832.54</v>
      </c>
      <c r="L38" s="25">
        <f t="shared" si="2"/>
        <v>6445.619999999999</v>
      </c>
      <c r="M38" s="31"/>
      <c r="N38" s="32">
        <v>6445.62</v>
      </c>
    </row>
    <row r="39" spans="1:14" x14ac:dyDescent="0.25">
      <c r="A39">
        <v>33</v>
      </c>
      <c r="B39" s="38" t="s">
        <v>23</v>
      </c>
      <c r="C39" s="39">
        <v>2611.25</v>
      </c>
      <c r="D39" s="35"/>
      <c r="E39" s="35"/>
      <c r="F39" s="35">
        <v>-1294.07</v>
      </c>
      <c r="G39" s="20">
        <f t="shared" si="3"/>
        <v>2611.25</v>
      </c>
      <c r="H39" s="40">
        <v>36.369999999999997</v>
      </c>
      <c r="I39" s="40">
        <v>222.34</v>
      </c>
      <c r="J39" s="41">
        <f t="shared" ref="J39:J56" si="13">G39-H39-I39-N39</f>
        <v>1294.07</v>
      </c>
      <c r="K39" s="41">
        <f t="shared" si="1"/>
        <v>1552.78</v>
      </c>
      <c r="L39" s="42">
        <f t="shared" si="2"/>
        <v>1058.47</v>
      </c>
      <c r="M39" s="31"/>
      <c r="N39" s="32">
        <v>1058.47</v>
      </c>
    </row>
    <row r="40" spans="1:14" x14ac:dyDescent="0.25">
      <c r="A40">
        <v>34</v>
      </c>
      <c r="B40" s="23" t="s">
        <v>24</v>
      </c>
      <c r="C40" s="21">
        <v>5125.96</v>
      </c>
      <c r="D40" s="34"/>
      <c r="E40" s="34"/>
      <c r="F40" s="34">
        <v>-2542.15</v>
      </c>
      <c r="G40" s="20">
        <f t="shared" si="3"/>
        <v>5125.96</v>
      </c>
      <c r="H40" s="4">
        <v>392.6</v>
      </c>
      <c r="I40" s="4">
        <v>553.80999999999995</v>
      </c>
      <c r="J40" s="2">
        <f t="shared" si="13"/>
        <v>2542.1499999999992</v>
      </c>
      <c r="K40" s="2">
        <f t="shared" si="1"/>
        <v>3488.559999999999</v>
      </c>
      <c r="L40" s="25">
        <f t="shared" si="2"/>
        <v>1637.400000000001</v>
      </c>
      <c r="M40" s="31"/>
      <c r="N40" s="32">
        <v>1637.4</v>
      </c>
    </row>
    <row r="41" spans="1:14" x14ac:dyDescent="0.25">
      <c r="A41">
        <v>35</v>
      </c>
      <c r="B41" s="23" t="s">
        <v>25</v>
      </c>
      <c r="C41" s="21">
        <v>10688.97</v>
      </c>
      <c r="D41" s="34"/>
      <c r="E41" s="34"/>
      <c r="F41" s="34">
        <v>-5298.41</v>
      </c>
      <c r="G41" s="20">
        <f t="shared" si="3"/>
        <v>10688.97</v>
      </c>
      <c r="H41" s="4">
        <v>1790.17</v>
      </c>
      <c r="I41" s="4">
        <v>828.38</v>
      </c>
      <c r="J41" s="2">
        <f t="shared" si="13"/>
        <v>5298.4099999999989</v>
      </c>
      <c r="K41" s="2">
        <f t="shared" si="1"/>
        <v>7916.9599999999991</v>
      </c>
      <c r="L41" s="25">
        <f t="shared" si="2"/>
        <v>2772.01</v>
      </c>
      <c r="M41" s="31"/>
      <c r="N41" s="32">
        <v>2772.01</v>
      </c>
    </row>
    <row r="42" spans="1:14" x14ac:dyDescent="0.25">
      <c r="A42">
        <v>36</v>
      </c>
      <c r="B42" s="23" t="s">
        <v>26</v>
      </c>
      <c r="C42" s="21">
        <f>6211.79+3358.05</f>
        <v>9569.84</v>
      </c>
      <c r="D42" s="34">
        <v>6703.8</v>
      </c>
      <c r="E42" s="34"/>
      <c r="F42" s="34">
        <v>-8072.25</v>
      </c>
      <c r="G42" s="20">
        <f t="shared" si="3"/>
        <v>16273.64</v>
      </c>
      <c r="H42" s="4">
        <v>3378.09</v>
      </c>
      <c r="I42" s="4">
        <v>828.38</v>
      </c>
      <c r="J42" s="2">
        <f>G42-H42-I42-N42</f>
        <v>8072.25</v>
      </c>
      <c r="K42" s="2">
        <f>SUM(H42:J42)</f>
        <v>12278.720000000001</v>
      </c>
      <c r="L42" s="25">
        <f t="shared" si="2"/>
        <v>3994.9199999999983</v>
      </c>
      <c r="M42" s="31"/>
      <c r="N42" s="32">
        <v>3994.92</v>
      </c>
    </row>
    <row r="43" spans="1:14" x14ac:dyDescent="0.25">
      <c r="A43">
        <v>37</v>
      </c>
      <c r="B43" s="23" t="s">
        <v>27</v>
      </c>
      <c r="C43" s="21">
        <f>5799.31+1113.47</f>
        <v>6912.7800000000007</v>
      </c>
      <c r="D43" s="34">
        <v>1159.8599999999999</v>
      </c>
      <c r="E43" s="34"/>
      <c r="F43" s="34">
        <v>-3581.43</v>
      </c>
      <c r="G43" s="20">
        <f t="shared" si="3"/>
        <v>8072.64</v>
      </c>
      <c r="H43" s="4">
        <v>1018.54</v>
      </c>
      <c r="I43" s="4">
        <v>828.38</v>
      </c>
      <c r="J43" s="2">
        <f t="shared" si="13"/>
        <v>3581.4300000000003</v>
      </c>
      <c r="K43" s="2">
        <f t="shared" si="1"/>
        <v>5428.35</v>
      </c>
      <c r="L43" s="25">
        <f t="shared" si="2"/>
        <v>2644.29</v>
      </c>
      <c r="M43" s="31"/>
      <c r="N43" s="32">
        <v>2644.29</v>
      </c>
    </row>
    <row r="44" spans="1:14" x14ac:dyDescent="0.25">
      <c r="A44">
        <v>38</v>
      </c>
      <c r="B44" s="23" t="s">
        <v>28</v>
      </c>
      <c r="C44" s="21">
        <f>6403.56+1857.03</f>
        <v>8260.59</v>
      </c>
      <c r="D44" s="34"/>
      <c r="E44" s="34">
        <v>51.15</v>
      </c>
      <c r="F44" s="34">
        <v>-3661.12</v>
      </c>
      <c r="G44" s="20">
        <f t="shared" si="3"/>
        <v>8311.74</v>
      </c>
      <c r="H44" s="4">
        <v>1136.43</v>
      </c>
      <c r="I44" s="4">
        <v>828.38</v>
      </c>
      <c r="J44" s="2">
        <f t="shared" si="13"/>
        <v>3661.1199999999994</v>
      </c>
      <c r="K44" s="2">
        <f t="shared" si="1"/>
        <v>5625.9299999999994</v>
      </c>
      <c r="L44" s="25">
        <f>SUM(G44-K44)</f>
        <v>2685.8100000000004</v>
      </c>
      <c r="M44" s="31"/>
      <c r="N44" s="32">
        <v>2685.81</v>
      </c>
    </row>
    <row r="45" spans="1:14" x14ac:dyDescent="0.25">
      <c r="A45">
        <v>39</v>
      </c>
      <c r="B45" s="23" t="s">
        <v>29</v>
      </c>
      <c r="C45" s="21">
        <f>5799.31+835.1</f>
        <v>6634.4100000000008</v>
      </c>
      <c r="D45" s="34">
        <v>1159.8599999999999</v>
      </c>
      <c r="E45" s="34"/>
      <c r="F45" s="34">
        <v>-3897.14</v>
      </c>
      <c r="G45" s="20">
        <f t="shared" si="3"/>
        <v>7794.27</v>
      </c>
      <c r="H45" s="4">
        <v>1046.26</v>
      </c>
      <c r="I45" s="4">
        <v>828.38</v>
      </c>
      <c r="J45" s="2">
        <f t="shared" si="13"/>
        <v>3897.1400000000003</v>
      </c>
      <c r="K45" s="2">
        <f t="shared" si="1"/>
        <v>5771.7800000000007</v>
      </c>
      <c r="L45" s="25">
        <f>SUM(G45-K45)</f>
        <v>2022.4899999999998</v>
      </c>
      <c r="M45" s="31"/>
      <c r="N45" s="32">
        <v>2022.49</v>
      </c>
    </row>
    <row r="46" spans="1:14" x14ac:dyDescent="0.25">
      <c r="A46">
        <v>40</v>
      </c>
      <c r="B46" s="23" t="s">
        <v>30</v>
      </c>
      <c r="C46" s="21">
        <f>4473.12+581.51</f>
        <v>5054.63</v>
      </c>
      <c r="D46" s="34"/>
      <c r="E46" s="34">
        <v>8.9499999999999993</v>
      </c>
      <c r="F46" s="34">
        <v>-2527.31</v>
      </c>
      <c r="G46" s="20">
        <f t="shared" si="3"/>
        <v>5063.58</v>
      </c>
      <c r="H46" s="4">
        <v>295.22000000000003</v>
      </c>
      <c r="I46" s="4">
        <v>545.07000000000005</v>
      </c>
      <c r="J46" s="2">
        <f t="shared" si="13"/>
        <v>2527.31</v>
      </c>
      <c r="K46" s="2">
        <f t="shared" si="1"/>
        <v>3367.6</v>
      </c>
      <c r="L46" s="25">
        <f t="shared" si="2"/>
        <v>1695.98</v>
      </c>
      <c r="M46" s="31"/>
      <c r="N46" s="32">
        <v>1695.98</v>
      </c>
    </row>
    <row r="47" spans="1:14" x14ac:dyDescent="0.25">
      <c r="A47">
        <v>41</v>
      </c>
      <c r="B47" s="23" t="s">
        <v>31</v>
      </c>
      <c r="C47" s="21">
        <f>5799.31+1136.66</f>
        <v>6935.97</v>
      </c>
      <c r="D47" s="34">
        <v>2319.7199999999998</v>
      </c>
      <c r="E47" s="34">
        <v>5.8</v>
      </c>
      <c r="F47" s="34">
        <v>-4587.26</v>
      </c>
      <c r="G47" s="20">
        <f t="shared" si="3"/>
        <v>9261.49</v>
      </c>
      <c r="H47" s="4">
        <v>1397.61</v>
      </c>
      <c r="I47" s="4">
        <v>828.38</v>
      </c>
      <c r="J47" s="2">
        <f t="shared" si="13"/>
        <v>4587.26</v>
      </c>
      <c r="K47" s="2">
        <f t="shared" si="1"/>
        <v>6813.25</v>
      </c>
      <c r="L47" s="25">
        <f t="shared" si="2"/>
        <v>2448.2399999999998</v>
      </c>
      <c r="M47" s="31"/>
      <c r="N47" s="32">
        <v>2448.2399999999998</v>
      </c>
    </row>
    <row r="48" spans="1:14" x14ac:dyDescent="0.25">
      <c r="A48">
        <v>42</v>
      </c>
      <c r="B48" s="23" t="s">
        <v>32</v>
      </c>
      <c r="C48" s="21">
        <v>6598.46</v>
      </c>
      <c r="D48" s="34"/>
      <c r="E48" s="34"/>
      <c r="F48" s="34">
        <v>-3269.24</v>
      </c>
      <c r="G48" s="20">
        <f t="shared" si="3"/>
        <v>6598.46</v>
      </c>
      <c r="H48" s="4">
        <v>684.09</v>
      </c>
      <c r="I48" s="4">
        <v>759.96</v>
      </c>
      <c r="J48" s="2">
        <f t="shared" si="13"/>
        <v>3269.24</v>
      </c>
      <c r="K48" s="2">
        <f t="shared" si="1"/>
        <v>4713.29</v>
      </c>
      <c r="L48" s="25">
        <f t="shared" si="2"/>
        <v>1885.17</v>
      </c>
      <c r="M48" s="31"/>
      <c r="N48" s="32">
        <v>1885.17</v>
      </c>
    </row>
    <row r="49" spans="1:14" x14ac:dyDescent="0.25">
      <c r="A49">
        <v>43</v>
      </c>
      <c r="B49" s="23" t="s">
        <v>51</v>
      </c>
      <c r="C49" s="21">
        <v>2384.8200000000002</v>
      </c>
      <c r="D49" s="34"/>
      <c r="E49" s="34"/>
      <c r="F49" s="34">
        <v>-1181.06</v>
      </c>
      <c r="G49" s="20">
        <f t="shared" si="3"/>
        <v>2384.8200000000002</v>
      </c>
      <c r="H49" s="4">
        <v>21.33</v>
      </c>
      <c r="I49" s="4">
        <v>196.45</v>
      </c>
      <c r="J49" s="2">
        <f t="shared" ref="J49" si="14">G49-H49-I49-N49</f>
        <v>1181.0600000000004</v>
      </c>
      <c r="K49" s="2">
        <f t="shared" ref="K49" si="15">SUM(H49:J49)</f>
        <v>1398.8400000000004</v>
      </c>
      <c r="L49" s="25">
        <f t="shared" ref="L49" si="16">SUM(G49-K49)</f>
        <v>985.97999999999979</v>
      </c>
      <c r="M49" s="31"/>
      <c r="N49" s="32">
        <v>985.98</v>
      </c>
    </row>
    <row r="50" spans="1:14" x14ac:dyDescent="0.25">
      <c r="A50">
        <v>44</v>
      </c>
      <c r="B50" s="23" t="s">
        <v>33</v>
      </c>
      <c r="C50" s="21">
        <f>13962.05+5026.34</f>
        <v>18988.39</v>
      </c>
      <c r="D50" s="34">
        <v>2792.41</v>
      </c>
      <c r="E50" s="34"/>
      <c r="F50" s="34">
        <v>-9576.83</v>
      </c>
      <c r="G50" s="20">
        <f t="shared" si="3"/>
        <v>21780.799999999999</v>
      </c>
      <c r="H50" s="4">
        <v>4892.5600000000004</v>
      </c>
      <c r="I50" s="4">
        <v>828.38</v>
      </c>
      <c r="J50" s="2">
        <f t="shared" si="13"/>
        <v>9576.8299999999981</v>
      </c>
      <c r="K50" s="2">
        <f t="shared" si="1"/>
        <v>15297.769999999999</v>
      </c>
      <c r="L50" s="25">
        <f>SUM(G50-K50)</f>
        <v>6483.0300000000007</v>
      </c>
      <c r="M50" s="31"/>
      <c r="N50" s="32">
        <v>6483.03</v>
      </c>
    </row>
    <row r="51" spans="1:14" x14ac:dyDescent="0.25">
      <c r="A51">
        <v>45</v>
      </c>
      <c r="B51" s="23" t="s">
        <v>34</v>
      </c>
      <c r="C51" s="21">
        <v>2707.38</v>
      </c>
      <c r="D51" s="34"/>
      <c r="E51" s="34"/>
      <c r="F51" s="34">
        <v>-1342.02</v>
      </c>
      <c r="G51" s="20">
        <f t="shared" si="3"/>
        <v>2707.38</v>
      </c>
      <c r="H51" s="4">
        <v>42.71</v>
      </c>
      <c r="I51" s="4">
        <v>233.88</v>
      </c>
      <c r="J51" s="2">
        <f t="shared" si="13"/>
        <v>1342.02</v>
      </c>
      <c r="K51" s="2">
        <f t="shared" si="1"/>
        <v>1618.61</v>
      </c>
      <c r="L51" s="25">
        <f t="shared" si="2"/>
        <v>1088.7700000000002</v>
      </c>
      <c r="M51" s="31"/>
      <c r="N51" s="32">
        <v>1088.77</v>
      </c>
    </row>
    <row r="52" spans="1:14" x14ac:dyDescent="0.25">
      <c r="A52">
        <v>46</v>
      </c>
      <c r="B52" s="23" t="s">
        <v>68</v>
      </c>
      <c r="C52" s="21">
        <f>3167.55+31.68</f>
        <v>3199.23</v>
      </c>
      <c r="D52" s="34"/>
      <c r="E52" s="34">
        <v>6.67</v>
      </c>
      <c r="F52" s="34">
        <v>-1599.62</v>
      </c>
      <c r="G52" s="20">
        <f t="shared" si="3"/>
        <v>3205.9</v>
      </c>
      <c r="H52" s="4">
        <v>82.03</v>
      </c>
      <c r="I52" s="4">
        <v>293.7</v>
      </c>
      <c r="J52" s="2">
        <f t="shared" ref="J52" si="17">G52-H52-I52-N52</f>
        <v>1599.6200000000001</v>
      </c>
      <c r="K52" s="2">
        <f t="shared" ref="K52" si="18">SUM(H52:J52)</f>
        <v>1975.3500000000001</v>
      </c>
      <c r="L52" s="25">
        <f t="shared" ref="L52" si="19">SUM(G52-K52)</f>
        <v>1230.55</v>
      </c>
      <c r="M52" s="31"/>
      <c r="N52" s="32">
        <v>1230.55</v>
      </c>
    </row>
    <row r="53" spans="1:14" x14ac:dyDescent="0.25">
      <c r="A53">
        <v>47</v>
      </c>
      <c r="B53" s="23" t="s">
        <v>35</v>
      </c>
      <c r="C53" s="21">
        <f>12110.38+5594.99</f>
        <v>17705.37</v>
      </c>
      <c r="D53" s="34">
        <v>4844.1499999999996</v>
      </c>
      <c r="E53" s="34"/>
      <c r="F53" s="34">
        <v>-8568.75</v>
      </c>
      <c r="G53" s="20">
        <f t="shared" si="3"/>
        <v>22549.519999999997</v>
      </c>
      <c r="H53" s="4">
        <v>5051.82</v>
      </c>
      <c r="I53" s="4">
        <v>828.38</v>
      </c>
      <c r="J53" s="2">
        <f t="shared" si="13"/>
        <v>8568.7499999999964</v>
      </c>
      <c r="K53" s="2">
        <f t="shared" si="1"/>
        <v>14448.949999999997</v>
      </c>
      <c r="L53" s="25">
        <f>SUM(G53-K53)</f>
        <v>8100.57</v>
      </c>
      <c r="M53" s="31"/>
      <c r="N53" s="32">
        <v>8100.57</v>
      </c>
    </row>
    <row r="54" spans="1:14" x14ac:dyDescent="0.25">
      <c r="A54">
        <v>48</v>
      </c>
      <c r="B54" s="23" t="s">
        <v>36</v>
      </c>
      <c r="C54" s="21">
        <v>6044.35</v>
      </c>
      <c r="D54" s="34"/>
      <c r="E54" s="34"/>
      <c r="F54" s="34">
        <v>-2685.87</v>
      </c>
      <c r="G54" s="20">
        <f t="shared" si="3"/>
        <v>6044.35</v>
      </c>
      <c r="H54" s="4">
        <v>553.04</v>
      </c>
      <c r="I54" s="4">
        <v>682.38</v>
      </c>
      <c r="J54" s="2">
        <f t="shared" si="13"/>
        <v>2685.8700000000003</v>
      </c>
      <c r="K54" s="2">
        <f t="shared" si="1"/>
        <v>3921.2900000000004</v>
      </c>
      <c r="L54" s="25">
        <f t="shared" si="2"/>
        <v>2123.06</v>
      </c>
      <c r="M54" s="31"/>
      <c r="N54" s="32">
        <v>2123.06</v>
      </c>
    </row>
    <row r="55" spans="1:14" x14ac:dyDescent="0.25">
      <c r="A55">
        <v>49</v>
      </c>
      <c r="B55" s="23" t="s">
        <v>60</v>
      </c>
      <c r="C55" s="21">
        <f>4752.79+142.58</f>
        <v>4895.37</v>
      </c>
      <c r="D55" s="34"/>
      <c r="E55" s="34">
        <f>8.32+98.72</f>
        <v>107.03999999999999</v>
      </c>
      <c r="F55" s="34">
        <v>-2423.9299999999998</v>
      </c>
      <c r="G55" s="20">
        <f t="shared" si="3"/>
        <v>5002.41</v>
      </c>
      <c r="H55" s="4">
        <v>368.7</v>
      </c>
      <c r="I55" s="4">
        <v>536.51</v>
      </c>
      <c r="J55" s="2">
        <f t="shared" ref="J55" si="20">G55-H55-I55-N55</f>
        <v>2423.9299999999998</v>
      </c>
      <c r="K55" s="2">
        <f t="shared" ref="K55" si="21">SUM(H55:J55)</f>
        <v>3329.14</v>
      </c>
      <c r="L55" s="25">
        <f t="shared" ref="L55" si="22">SUM(G55-K55)</f>
        <v>1673.27</v>
      </c>
      <c r="M55" s="31"/>
      <c r="N55" s="32">
        <v>1673.27</v>
      </c>
    </row>
    <row r="56" spans="1:14" ht="15.75" thickBot="1" x14ac:dyDescent="0.3">
      <c r="A56">
        <v>50</v>
      </c>
      <c r="B56" s="24" t="s">
        <v>37</v>
      </c>
      <c r="C56" s="22">
        <f>9306.78+1824.13</f>
        <v>11130.91</v>
      </c>
      <c r="D56" s="36">
        <v>3722.71</v>
      </c>
      <c r="E56" s="36"/>
      <c r="F56" s="36">
        <v>-6310</v>
      </c>
      <c r="G56" s="77">
        <f t="shared" si="3"/>
        <v>14853.619999999999</v>
      </c>
      <c r="H56" s="18">
        <v>2935.44</v>
      </c>
      <c r="I56" s="18">
        <v>828.38</v>
      </c>
      <c r="J56" s="19">
        <f t="shared" si="13"/>
        <v>6309.9999999999991</v>
      </c>
      <c r="K56" s="19">
        <f t="shared" si="1"/>
        <v>10073.82</v>
      </c>
      <c r="L56" s="26">
        <f t="shared" si="2"/>
        <v>4779.7999999999993</v>
      </c>
      <c r="M56" s="31"/>
      <c r="N56" s="32">
        <v>4779.8</v>
      </c>
    </row>
    <row r="57" spans="1:14" ht="15.75" thickBot="1" x14ac:dyDescent="0.3"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</row>
    <row r="58" spans="1:14" x14ac:dyDescent="0.25">
      <c r="B58" s="60" t="s">
        <v>70</v>
      </c>
      <c r="C58" s="61"/>
      <c r="D58" s="61"/>
      <c r="E58" s="61"/>
      <c r="F58" s="61"/>
      <c r="G58" s="61"/>
      <c r="H58" s="61"/>
      <c r="I58" s="61"/>
      <c r="J58" s="61"/>
      <c r="K58" s="61"/>
      <c r="L58" s="62"/>
    </row>
    <row r="59" spans="1:14" x14ac:dyDescent="0.25">
      <c r="B59" s="64" t="s">
        <v>71</v>
      </c>
      <c r="C59" s="65"/>
      <c r="D59" s="65"/>
      <c r="E59" s="65"/>
      <c r="F59" s="65"/>
      <c r="G59" s="65"/>
      <c r="H59" s="65"/>
      <c r="I59" s="65"/>
      <c r="J59" s="65"/>
      <c r="K59" s="65"/>
      <c r="L59" s="66"/>
    </row>
    <row r="60" spans="1:14" ht="5.25" customHeight="1" x14ac:dyDescent="0.25">
      <c r="B60" s="50"/>
      <c r="C60" s="51"/>
      <c r="D60" s="51"/>
      <c r="E60" s="51"/>
      <c r="F60" s="51"/>
      <c r="G60" s="51"/>
      <c r="H60" s="51"/>
      <c r="I60" s="51"/>
      <c r="J60" s="51"/>
      <c r="K60" s="51"/>
      <c r="L60" s="52"/>
    </row>
    <row r="61" spans="1:14" x14ac:dyDescent="0.25">
      <c r="B61" s="53" t="s">
        <v>66</v>
      </c>
      <c r="C61" s="54"/>
      <c r="D61" s="54"/>
      <c r="E61" s="54"/>
      <c r="F61" s="54"/>
      <c r="G61" s="54"/>
      <c r="H61" s="54"/>
      <c r="I61" s="54"/>
      <c r="J61" s="54"/>
      <c r="K61" s="54"/>
      <c r="L61" s="55"/>
    </row>
    <row r="62" spans="1:14" x14ac:dyDescent="0.25">
      <c r="B62" s="50" t="s">
        <v>63</v>
      </c>
      <c r="C62" s="51"/>
      <c r="D62" s="51"/>
      <c r="E62" s="51"/>
      <c r="F62" s="51"/>
      <c r="G62" s="51"/>
      <c r="H62" s="51"/>
      <c r="I62" s="51"/>
      <c r="J62" s="51"/>
      <c r="K62" s="51"/>
      <c r="L62" s="52"/>
    </row>
    <row r="63" spans="1:14" x14ac:dyDescent="0.25">
      <c r="B63" s="50" t="s">
        <v>64</v>
      </c>
      <c r="C63" s="51"/>
      <c r="D63" s="51"/>
      <c r="E63" s="51"/>
      <c r="F63" s="51"/>
      <c r="G63" s="51"/>
      <c r="H63" s="51"/>
      <c r="I63" s="51"/>
      <c r="J63" s="51"/>
      <c r="K63" s="51"/>
      <c r="L63" s="52"/>
    </row>
    <row r="64" spans="1:14" x14ac:dyDescent="0.25">
      <c r="B64" s="50" t="s">
        <v>65</v>
      </c>
      <c r="C64" s="51"/>
      <c r="D64" s="51"/>
      <c r="E64" s="51"/>
      <c r="F64" s="51"/>
      <c r="G64" s="51"/>
      <c r="H64" s="51"/>
      <c r="I64" s="51"/>
      <c r="J64" s="51"/>
      <c r="K64" s="51"/>
      <c r="L64" s="52"/>
    </row>
    <row r="65" spans="2:12" ht="15.75" thickBot="1" x14ac:dyDescent="0.3">
      <c r="B65" s="47" t="s">
        <v>72</v>
      </c>
      <c r="C65" s="48"/>
      <c r="D65" s="48"/>
      <c r="E65" s="48"/>
      <c r="F65" s="48"/>
      <c r="G65" s="48"/>
      <c r="H65" s="48"/>
      <c r="I65" s="48"/>
      <c r="J65" s="48"/>
      <c r="K65" s="48"/>
      <c r="L65" s="49"/>
    </row>
    <row r="66" spans="2:12" x14ac:dyDescent="0.25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</row>
    <row r="67" spans="2:12" x14ac:dyDescent="0.25">
      <c r="B67" s="7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2:12" ht="15.75" thickBot="1" x14ac:dyDescent="0.3">
      <c r="B68" s="7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2:12" ht="15.75" x14ac:dyDescent="0.25">
      <c r="B69" s="8"/>
      <c r="C69" s="8"/>
      <c r="D69" s="8"/>
      <c r="E69" s="8"/>
      <c r="F69" s="8"/>
      <c r="G69" s="10" t="s">
        <v>56</v>
      </c>
      <c r="H69" s="11" t="s">
        <v>57</v>
      </c>
      <c r="I69" s="11" t="s">
        <v>42</v>
      </c>
      <c r="J69" s="56" t="s">
        <v>58</v>
      </c>
      <c r="K69" s="57"/>
    </row>
    <row r="70" spans="2:12" x14ac:dyDescent="0.25">
      <c r="B70" s="5"/>
      <c r="C70" s="5"/>
      <c r="D70" s="5"/>
      <c r="E70" s="5"/>
      <c r="F70" s="5"/>
      <c r="G70" s="12">
        <f>SUM(G7:G56)</f>
        <v>479748.71</v>
      </c>
      <c r="H70" s="13">
        <f>SUM(H7:H56)</f>
        <v>79459.650000000023</v>
      </c>
      <c r="I70" s="13">
        <f>SUM(I7:I56)</f>
        <v>31283.900000000012</v>
      </c>
      <c r="J70" s="58">
        <f>SUM(L7:L56)</f>
        <v>145272.30999999997</v>
      </c>
      <c r="K70" s="59"/>
    </row>
    <row r="71" spans="2:12" ht="16.5" thickBot="1" x14ac:dyDescent="0.3">
      <c r="B71" s="5"/>
      <c r="C71" s="5"/>
      <c r="D71" s="5"/>
      <c r="E71" s="5"/>
      <c r="F71" s="3"/>
      <c r="G71" s="14">
        <f>SUM(G70:G70)</f>
        <v>479748.71</v>
      </c>
      <c r="H71" s="15">
        <f>SUM(H70:H70)</f>
        <v>79459.650000000023</v>
      </c>
      <c r="I71" s="15">
        <f>SUM(I70:I70)</f>
        <v>31283.900000000012</v>
      </c>
      <c r="J71" s="45">
        <f>SUM(J70:J70)</f>
        <v>145272.30999999997</v>
      </c>
      <c r="K71" s="46"/>
    </row>
    <row r="72" spans="2:12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2:12" x14ac:dyDescent="0.2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</sheetData>
  <mergeCells count="21">
    <mergeCell ref="B58:L58"/>
    <mergeCell ref="B57:L57"/>
    <mergeCell ref="B59:L59"/>
    <mergeCell ref="B1:L1"/>
    <mergeCell ref="B2:L2"/>
    <mergeCell ref="B3:L3"/>
    <mergeCell ref="B5:B6"/>
    <mergeCell ref="C5:C6"/>
    <mergeCell ref="H5:H6"/>
    <mergeCell ref="I5:I6"/>
    <mergeCell ref="E5:E6"/>
    <mergeCell ref="D5:D6"/>
    <mergeCell ref="J71:K71"/>
    <mergeCell ref="B65:L65"/>
    <mergeCell ref="B60:L60"/>
    <mergeCell ref="B61:L61"/>
    <mergeCell ref="J69:K69"/>
    <mergeCell ref="J70:K70"/>
    <mergeCell ref="B62:L62"/>
    <mergeCell ref="B64:L64"/>
    <mergeCell ref="B63:L63"/>
  </mergeCells>
  <pageMargins left="0.23622047244094491" right="3.937007874015748E-2" top="0.19685039370078741" bottom="0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2021-05-05T16:16:36Z</cp:lastPrinted>
  <dcterms:created xsi:type="dcterms:W3CDTF">2016-04-28T12:49:34Z</dcterms:created>
  <dcterms:modified xsi:type="dcterms:W3CDTF">2022-12-21T19:31:55Z</dcterms:modified>
</cp:coreProperties>
</file>