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"/>
    </mc:Choice>
  </mc:AlternateContent>
  <xr:revisionPtr revIDLastSave="0" documentId="13_ncr:1_{B14AC621-0F11-4178-AC4F-6C725FE02C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3" i="6" l="1"/>
  <c r="F63" i="6"/>
  <c r="C63" i="6"/>
  <c r="F60" i="6"/>
  <c r="C60" i="6"/>
  <c r="L59" i="6"/>
  <c r="F59" i="6"/>
  <c r="C59" i="6"/>
  <c r="M57" i="6"/>
  <c r="L57" i="6"/>
  <c r="F57" i="6"/>
  <c r="C57" i="6"/>
  <c r="C53" i="6"/>
  <c r="C47" i="6"/>
  <c r="C45" i="6"/>
  <c r="C44" i="6"/>
  <c r="M42" i="6"/>
  <c r="F42" i="6"/>
  <c r="C42" i="6"/>
  <c r="C40" i="6"/>
  <c r="D37" i="6"/>
  <c r="C37" i="6"/>
  <c r="C36" i="6"/>
  <c r="C18" i="6"/>
  <c r="C13" i="6"/>
  <c r="D13" i="6"/>
  <c r="M10" i="6"/>
  <c r="F10" i="6"/>
  <c r="C10" i="6"/>
  <c r="M9" i="6"/>
  <c r="L9" i="6"/>
  <c r="F9" i="6"/>
  <c r="C9" i="6"/>
  <c r="C64" i="6"/>
  <c r="M53" i="6"/>
  <c r="C50" i="6"/>
  <c r="D49" i="6"/>
  <c r="D46" i="6"/>
  <c r="C35" i="6"/>
  <c r="C16" i="6"/>
  <c r="C7" i="6"/>
  <c r="K62" i="6"/>
  <c r="N62" i="6" s="1"/>
  <c r="O62" i="6" s="1"/>
  <c r="P62" i="6" s="1"/>
  <c r="M50" i="6"/>
  <c r="C49" i="6"/>
  <c r="C8" i="6"/>
  <c r="C52" i="6"/>
  <c r="C41" i="6"/>
  <c r="C34" i="6"/>
  <c r="C55" i="6"/>
  <c r="M52" i="6"/>
  <c r="M47" i="6"/>
  <c r="C46" i="6"/>
  <c r="M45" i="6"/>
  <c r="M44" i="6"/>
  <c r="M41" i="6"/>
  <c r="M34" i="6"/>
  <c r="C25" i="6"/>
  <c r="C23" i="6"/>
  <c r="C22" i="6"/>
  <c r="C15" i="6"/>
  <c r="D14" i="6"/>
  <c r="C14" i="6"/>
  <c r="M7" i="6"/>
  <c r="K38" i="6"/>
  <c r="N38" i="6" l="1"/>
  <c r="O38" i="6" s="1"/>
  <c r="P38" i="6" s="1"/>
  <c r="K33" i="6"/>
  <c r="N33" i="6" s="1"/>
  <c r="O33" i="6" s="1"/>
  <c r="P33" i="6" s="1"/>
  <c r="K32" i="6" l="1"/>
  <c r="N32" i="6" s="1"/>
  <c r="O32" i="6" s="1"/>
  <c r="P32" i="6" s="1"/>
  <c r="K21" i="6"/>
  <c r="N21" i="6" s="1"/>
  <c r="O21" i="6" s="1"/>
  <c r="P21" i="6" s="1"/>
  <c r="K28" i="6" l="1"/>
  <c r="K19" i="6"/>
  <c r="N19" i="6" s="1"/>
  <c r="K63" i="6"/>
  <c r="N63" i="6" s="1"/>
  <c r="O63" i="6" s="1"/>
  <c r="P63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4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29" i="6"/>
  <c r="K30" i="6"/>
  <c r="K31" i="6"/>
  <c r="K34" i="6"/>
  <c r="K36" i="6"/>
  <c r="K37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0" i="6" l="1"/>
  <c r="O30" i="6" s="1"/>
  <c r="P30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4" i="6"/>
  <c r="O64" i="6" s="1"/>
  <c r="P64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1" i="6"/>
  <c r="O31" i="6" s="1"/>
  <c r="P31" i="6" s="1"/>
  <c r="N26" i="6"/>
  <c r="O26" i="6" s="1"/>
  <c r="P26" i="6" s="1"/>
  <c r="N37" i="6"/>
  <c r="O37" i="6" s="1"/>
  <c r="P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29" i="6"/>
  <c r="O29" i="6" s="1"/>
  <c r="P29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<sst xmlns="http://schemas.openxmlformats.org/spreadsheetml/2006/main" count="90" uniqueCount="88">
  <si>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</si>
  <si>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</si>
  <si>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</si>
  <si>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</si>
  <si>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</si>
  <si>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</si>
  <si>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</si>
  <si>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</si>
  <si>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</si>
  <si>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</si>
  <si>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</si>
  <si>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</si>
  <si>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</si>
  <si>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</si>
  <si>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</si>
  <si>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</si>
  <si>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</si>
  <si>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</si>
  <si>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</si>
  <si>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</si>
  <si>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</si>
  <si>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</si>
  <si>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</si>
  <si>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</si>
  <si>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</si>
  <si>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</si>
  <si>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</si>
  <si>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</si>
  <si>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</si>
  <si>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</si>
  <si>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</si>
  <si>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</si>
  <si>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</si>
  <si>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</si>
  <si>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</si>
  <si>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</si>
  <si>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</si>
  <si>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</si>
  <si>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</si>
  <si>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</si>
  <si>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</si>
  <si>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</si>
  <si>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</si>
  <si>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</si>
  <si>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</si>
  <si>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</si>
  <si>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</si>
  <si>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</si>
  <si>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</si>
  <si>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</si>
  <si>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</si>
  <si>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</si>
  <si>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</si>
  <si>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</si>
  <si>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</si>
  <si>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</si>
  <si>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</si>
  <si>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</si>
  <si>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</si>
  <si>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</si>
  <si>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</si>
  <si>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</si>
  <si>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</si>
  <si>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</si>
  <si>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</si>
  <si>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</si>
  <si>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</si>
  <si>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</si>
  <si>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</si>
  <si>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</si>
  <si>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</si>
  <si>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</si>
  <si>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</si>
  <si>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</si>
  <si>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</si>
  <si>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</si>
  <si>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</si>
  <si>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</si>
  <si>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</si>
  <si>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</si>
  <si>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</si>
  <si>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</si>
  <si>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</si>
  <si>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</si>
  <si>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r>
      <t>JERUZA FERNANDES MOURA BURGES (</t>
    </r>
    <r>
      <rPr>
        <b/>
        <i/>
        <sz val="11"/>
        <color rgb="FFFF0000"/>
        <rFont val="Calibri"/>
        <family val="2"/>
        <scheme val="minor"/>
      </rPr>
      <t>contrato suspenso</t>
    </r>
    <r>
      <rPr>
        <i/>
        <sz val="11"/>
        <color theme="1"/>
        <rFont val="Calibri"/>
        <family val="2"/>
        <scheme val="minor"/>
      </rPr>
      <t>)</t>
    </r>
  </si>
  <si>
    <t>VINICIUS GABRIEL FRANK SALDANHA</t>
  </si>
  <si>
    <t>Novembro/2025</t>
  </si>
  <si>
    <r>
      <t xml:space="preserve">VINICIUS HERRERA FRANCESCHINI </t>
    </r>
    <r>
      <rPr>
        <b/>
        <i/>
        <sz val="11"/>
        <color rgb="FFFF0000"/>
        <rFont val="Calibri"/>
        <family val="2"/>
        <scheme val="minor"/>
      </rPr>
      <t>(RESCISÃO)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</si>
</sst>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8" sqref="B58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46</v>
      </c>
      <c r="C5" s="59" t="s">
        <v>36</v>
      </c>
      <c r="D5" s="63" t="s">
        <v>58</v>
      </c>
      <c r="E5" s="59" t="s">
        <v>37</v>
      </c>
      <c r="F5" s="59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61" t="s">
        <v>40</v>
      </c>
      <c r="M5" s="59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58"/>
      <c r="C6" s="60"/>
      <c r="D6" s="64"/>
      <c r="E6" s="60"/>
      <c r="F6" s="60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62"/>
      <c r="M6" s="60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8237.76+1272.89</f>
        <v>9510.65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12844.63</v>
      </c>
      <c r="L7" s="3">
        <v>2361.85</v>
      </c>
      <c r="M7" s="3">
        <f>52.87+898.75</f>
        <v>951.62</v>
      </c>
      <c r="N7" s="2">
        <f>K7-L7-M7-R7</f>
        <v>52.849999999998545</v>
      </c>
      <c r="O7" s="2">
        <f t="shared" ref="O7:O64" si="1">SUM(L7:N7)</f>
        <v>3366.3199999999983</v>
      </c>
      <c r="P7" s="16">
        <f t="shared" ref="P7:P64" si="2">SUM(K7-O7)</f>
        <v>9478.3100000000013</v>
      </c>
      <c r="Q7" s="22"/>
      <c r="R7" s="46">
        <v>9478.31</v>
      </c>
    </row>
    <row r="8" spans="1:19" x14ac:dyDescent="0.25">
      <c r="A8" s="38">
        <v>2</v>
      </c>
      <c r="B8" s="47" t="s">
        <v>54</v>
      </c>
      <c r="C8" s="14">
        <f>3798.25+499.26</f>
        <v>4297.51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7631.49</v>
      </c>
      <c r="L8" s="3">
        <v>948.48</v>
      </c>
      <c r="M8" s="3">
        <v>877.99</v>
      </c>
      <c r="N8" s="2">
        <f t="shared" ref="N8:N13" si="3">K8-L8-M8-R8</f>
        <v>147.5</v>
      </c>
      <c r="O8" s="2">
        <f t="shared" si="1"/>
        <v>1973.97</v>
      </c>
      <c r="P8" s="16">
        <f t="shared" si="2"/>
        <v>5657.5199999999995</v>
      </c>
      <c r="Q8" s="22"/>
      <c r="R8" s="46">
        <v>5657.52</v>
      </c>
    </row>
    <row r="9" spans="1:19" x14ac:dyDescent="0.25">
      <c r="A9" s="38">
        <v>3</v>
      </c>
      <c r="B9" s="47" t="s">
        <v>70</v>
      </c>
      <c r="C9" s="14">
        <f>3457.2+165.95</f>
        <v>3623.1499999999996</v>
      </c>
      <c r="D9" s="24">
        <v>691.44</v>
      </c>
      <c r="E9" s="24"/>
      <c r="F9" s="22">
        <f>4314.58+1438.19</f>
        <v>5752.77</v>
      </c>
      <c r="G9" s="22"/>
      <c r="H9" s="24"/>
      <c r="I9" s="27"/>
      <c r="J9" s="27"/>
      <c r="K9" s="12">
        <f t="shared" ref="K9:K10" si="4">SUM(C9:I9)</f>
        <v>10067.36</v>
      </c>
      <c r="L9" s="3">
        <f>161.95+504.17</f>
        <v>666.12</v>
      </c>
      <c r="M9" s="3">
        <f>336.65+614.97</f>
        <v>951.62</v>
      </c>
      <c r="N9" s="2">
        <f t="shared" ref="N9:N10" si="5">K9-L9-M9-R9</f>
        <v>5534.7599999999984</v>
      </c>
      <c r="O9" s="2">
        <f t="shared" ref="O9:O10" si="6">SUM(L9:N9)</f>
        <v>7152.4999999999982</v>
      </c>
      <c r="P9" s="16">
        <f t="shared" ref="P9:P10" si="7">SUM(K9-O9)</f>
        <v>2914.8600000000024</v>
      </c>
      <c r="Q9" s="22"/>
      <c r="R9" s="46">
        <v>2914.86</v>
      </c>
    </row>
    <row r="10" spans="1:19" x14ac:dyDescent="0.25">
      <c r="A10" s="38">
        <v>4</v>
      </c>
      <c r="B10" s="47" t="s">
        <v>72</v>
      </c>
      <c r="C10" s="14">
        <f>2343.58+46.87</f>
        <v>2390.4499999999998</v>
      </c>
      <c r="D10" s="24"/>
      <c r="E10" s="24"/>
      <c r="F10" s="24">
        <f>2390.45+796.82</f>
        <v>3187.27</v>
      </c>
      <c r="G10" s="24"/>
      <c r="H10" s="24"/>
      <c r="I10" s="27"/>
      <c r="J10" s="27"/>
      <c r="K10" s="12">
        <f t="shared" si="4"/>
        <v>5577.7199999999993</v>
      </c>
      <c r="L10" s="3">
        <v>11.35</v>
      </c>
      <c r="M10" s="3">
        <f>314.59+275.87</f>
        <v>590.46</v>
      </c>
      <c r="N10" s="2">
        <f t="shared" si="5"/>
        <v>2909.3999999999987</v>
      </c>
      <c r="O10" s="2">
        <f t="shared" si="6"/>
        <v>3511.2099999999987</v>
      </c>
      <c r="P10" s="16">
        <f t="shared" si="7"/>
        <v>2066.5100000000007</v>
      </c>
      <c r="Q10" s="22"/>
      <c r="R10" s="46">
        <v>2066.5100000000002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562.39000000000033</v>
      </c>
      <c r="O11" s="2">
        <f t="shared" si="1"/>
        <v>1434.1800000000003</v>
      </c>
      <c r="P11" s="16">
        <f>SUM(K11-O11)+H11</f>
        <v>3700.95</v>
      </c>
      <c r="Q11" s="22"/>
      <c r="R11" s="46">
        <v>3700.95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68</v>
      </c>
      <c r="C13" s="14">
        <f>6914.39+336.24</f>
        <v>7250.63</v>
      </c>
      <c r="D13" s="24">
        <f>1382.88+108.77</f>
        <v>1491.65</v>
      </c>
      <c r="E13" s="24"/>
      <c r="F13" s="24"/>
      <c r="G13" s="24"/>
      <c r="H13" s="24"/>
      <c r="I13" s="27"/>
      <c r="J13" s="27"/>
      <c r="K13" s="12">
        <f t="shared" si="0"/>
        <v>8742.2800000000007</v>
      </c>
      <c r="L13" s="3">
        <v>1181.56</v>
      </c>
      <c r="M13" s="3">
        <v>951.62</v>
      </c>
      <c r="N13" s="2">
        <f t="shared" si="3"/>
        <v>185.01000000000113</v>
      </c>
      <c r="O13" s="2">
        <f t="shared" si="1"/>
        <v>2318.190000000001</v>
      </c>
      <c r="P13" s="16">
        <f t="shared" si="2"/>
        <v>6424.09</v>
      </c>
      <c r="Q13" s="22"/>
      <c r="R13" s="46">
        <v>6424.09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111.28000000000975</v>
      </c>
      <c r="O14" s="2">
        <f t="shared" si="1"/>
        <v>9886.2800000000097</v>
      </c>
      <c r="P14" s="16">
        <f t="shared" si="2"/>
        <v>26454.819999999996</v>
      </c>
      <c r="Q14" s="22"/>
      <c r="R14" s="46">
        <v>26454.82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29" si="8">SUM(C15:I15)</f>
        <v>31657.129999999997</v>
      </c>
      <c r="L15" s="3">
        <v>7535.29</v>
      </c>
      <c r="M15" s="3">
        <v>951.62</v>
      </c>
      <c r="N15" s="2">
        <f t="shared" ref="N15:N41" si="9">K15-L15-M15-R15</f>
        <v>84.149999999997817</v>
      </c>
      <c r="O15" s="2">
        <f t="shared" si="1"/>
        <v>8571.0599999999977</v>
      </c>
      <c r="P15" s="16">
        <f t="shared" si="2"/>
        <v>23086.07</v>
      </c>
      <c r="Q15" s="22"/>
      <c r="R15" s="46">
        <v>23086.07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800.65</v>
      </c>
      <c r="M16" s="3">
        <v>790.47</v>
      </c>
      <c r="N16" s="2">
        <f t="shared" si="9"/>
        <v>72.289999999999964</v>
      </c>
      <c r="O16" s="2">
        <f t="shared" si="1"/>
        <v>1663.4099999999999</v>
      </c>
      <c r="P16" s="16">
        <f t="shared" si="2"/>
        <v>5342.99</v>
      </c>
      <c r="Q16" s="22"/>
      <c r="R16" s="46">
        <v>5342.99</v>
      </c>
    </row>
    <row r="17" spans="1:18" x14ac:dyDescent="0.25">
      <c r="A17" s="38">
        <v>11</v>
      </c>
      <c r="B17" s="47" t="s">
        <v>6</v>
      </c>
      <c r="C17" s="14">
        <v>4672.25</v>
      </c>
      <c r="D17" s="24"/>
      <c r="E17" s="24"/>
      <c r="F17" s="24"/>
      <c r="G17" s="24"/>
      <c r="H17" s="24"/>
      <c r="I17" s="27"/>
      <c r="J17" s="27"/>
      <c r="K17" s="12">
        <f t="shared" si="8"/>
        <v>4672.25</v>
      </c>
      <c r="L17" s="3">
        <v>239.15</v>
      </c>
      <c r="M17" s="3">
        <v>463.69</v>
      </c>
      <c r="N17" s="2">
        <f t="shared" si="9"/>
        <v>449.61000000000013</v>
      </c>
      <c r="O17" s="2">
        <f t="shared" si="1"/>
        <v>1152.4500000000003</v>
      </c>
      <c r="P17" s="16">
        <f t="shared" si="2"/>
        <v>3519.7999999999997</v>
      </c>
      <c r="Q17" s="22"/>
      <c r="R17" s="46">
        <v>3519.8</v>
      </c>
    </row>
    <row r="18" spans="1:18" x14ac:dyDescent="0.25">
      <c r="A18" s="38">
        <v>12</v>
      </c>
      <c r="B18" s="47" t="s">
        <v>7</v>
      </c>
      <c r="C18" s="14">
        <f>8353.33+2420.47</f>
        <v>10773.8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15159.779999999999</v>
      </c>
      <c r="L18" s="3">
        <v>2842.1</v>
      </c>
      <c r="M18" s="3">
        <v>951.62</v>
      </c>
      <c r="N18" s="2">
        <f t="shared" si="9"/>
        <v>730.53999999999724</v>
      </c>
      <c r="O18" s="2">
        <f t="shared" si="1"/>
        <v>4524.2599999999966</v>
      </c>
      <c r="P18" s="16">
        <f t="shared" si="2"/>
        <v>10635.520000000002</v>
      </c>
      <c r="Q18" s="22"/>
      <c r="R18" s="46">
        <v>10635.52</v>
      </c>
    </row>
    <row r="19" spans="1:18" x14ac:dyDescent="0.25">
      <c r="A19" s="38">
        <v>13</v>
      </c>
      <c r="B19" s="47" t="s">
        <v>75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35.64</v>
      </c>
      <c r="M19" s="3">
        <v>310.11</v>
      </c>
      <c r="N19" s="2">
        <f t="shared" ref="N19" si="11">K19-L19-M19-R19</f>
        <v>9.3500000000003638</v>
      </c>
      <c r="O19" s="2">
        <f t="shared" ref="O19" si="12">SUM(L19:N19)</f>
        <v>355.10000000000036</v>
      </c>
      <c r="P19" s="16">
        <f t="shared" ref="P19" si="13">SUM(K19-O19)</f>
        <v>3117.45</v>
      </c>
      <c r="Q19" s="22"/>
      <c r="R19" s="46">
        <v>3117.45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9.3500000000008185</v>
      </c>
      <c r="O20" s="2">
        <f t="shared" si="1"/>
        <v>789.7400000000008</v>
      </c>
      <c r="P20" s="16">
        <f t="shared" si="2"/>
        <v>4094.9799999999996</v>
      </c>
      <c r="Q20" s="22"/>
      <c r="R20" s="46">
        <v>4094.98</v>
      </c>
    </row>
    <row r="21" spans="1:18" x14ac:dyDescent="0.25">
      <c r="A21" s="38">
        <v>15</v>
      </c>
      <c r="B21" s="47" t="s">
        <v>78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242.5</v>
      </c>
      <c r="M21" s="3">
        <v>465.78</v>
      </c>
      <c r="N21" s="2">
        <f t="shared" ref="N21" si="14">K21-L21-M21-R21</f>
        <v>49.349999999999909</v>
      </c>
      <c r="O21" s="2">
        <f t="shared" ref="O21" si="15">SUM(L21:N21)</f>
        <v>757.62999999999988</v>
      </c>
      <c r="P21" s="16">
        <f t="shared" ref="P21" si="16">SUM(K21-O21)</f>
        <v>3929.5299999999997</v>
      </c>
      <c r="Q21" s="22"/>
      <c r="R21" s="46">
        <v>3929.53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11580.28</v>
      </c>
      <c r="M22" s="3">
        <v>951.62</v>
      </c>
      <c r="N22" s="2">
        <f t="shared" si="9"/>
        <v>14878.129999999997</v>
      </c>
      <c r="O22" s="2">
        <f t="shared" si="1"/>
        <v>27410.03</v>
      </c>
      <c r="P22" s="16">
        <f t="shared" si="2"/>
        <v>33286.75</v>
      </c>
      <c r="Q22" s="22"/>
      <c r="R22" s="46">
        <v>33286.75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922.98999999999796</v>
      </c>
      <c r="O23" s="2">
        <f t="shared" si="1"/>
        <v>8410.1999999999971</v>
      </c>
      <c r="P23" s="16">
        <f t="shared" si="2"/>
        <v>19801.25</v>
      </c>
      <c r="Q23" s="22"/>
      <c r="R23" s="46">
        <v>19801.25</v>
      </c>
    </row>
    <row r="24" spans="1:18" x14ac:dyDescent="0.25">
      <c r="A24" s="38">
        <v>18</v>
      </c>
      <c r="B24" s="47" t="s">
        <v>11</v>
      </c>
      <c r="C24" s="14">
        <v>10799.86</v>
      </c>
      <c r="D24" s="24"/>
      <c r="E24" s="24"/>
      <c r="F24" s="24"/>
      <c r="G24" s="24"/>
      <c r="H24" s="24"/>
      <c r="I24" s="27"/>
      <c r="J24" s="27"/>
      <c r="K24" s="12">
        <f t="shared" si="8"/>
        <v>10799.86</v>
      </c>
      <c r="L24" s="3">
        <v>1695.26</v>
      </c>
      <c r="M24" s="3">
        <v>951.62</v>
      </c>
      <c r="N24" s="2">
        <f t="shared" si="9"/>
        <v>2194.2300000000005</v>
      </c>
      <c r="O24" s="2">
        <f t="shared" si="1"/>
        <v>4841.1100000000006</v>
      </c>
      <c r="P24" s="16">
        <f t="shared" si="2"/>
        <v>5958.75</v>
      </c>
      <c r="Q24" s="22"/>
      <c r="R24" s="46">
        <v>5958.75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3474.1999999999971</v>
      </c>
      <c r="O25" s="2">
        <f t="shared" si="1"/>
        <v>10884.589999999997</v>
      </c>
      <c r="P25" s="16">
        <f t="shared" si="2"/>
        <v>17047.54</v>
      </c>
      <c r="Q25" s="22"/>
      <c r="R25" s="46">
        <v>17047.54</v>
      </c>
    </row>
    <row r="26" spans="1:18" x14ac:dyDescent="0.25">
      <c r="A26" s="38">
        <v>20</v>
      </c>
      <c r="B26" s="47" t="s">
        <v>12</v>
      </c>
      <c r="C26" s="14">
        <v>11946.31</v>
      </c>
      <c r="D26" s="24"/>
      <c r="E26" s="24"/>
      <c r="F26" s="24"/>
      <c r="G26" s="24"/>
      <c r="H26" s="24"/>
      <c r="I26" s="27"/>
      <c r="J26" s="27"/>
      <c r="K26" s="12">
        <f t="shared" si="8"/>
        <v>11946.31</v>
      </c>
      <c r="L26" s="3">
        <v>2062.67</v>
      </c>
      <c r="M26" s="3">
        <v>951.62</v>
      </c>
      <c r="N26" s="2">
        <f t="shared" si="9"/>
        <v>460.82999999999811</v>
      </c>
      <c r="O26" s="2">
        <f t="shared" si="1"/>
        <v>3475.1199999999981</v>
      </c>
      <c r="P26" s="16">
        <f>SUM(K26-O26)+H26</f>
        <v>8471.1900000000023</v>
      </c>
      <c r="Q26" s="22"/>
      <c r="R26" s="46">
        <v>8471.19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9.3500000000003638</v>
      </c>
      <c r="O27" s="2">
        <f t="shared" si="1"/>
        <v>3113.9300000000003</v>
      </c>
      <c r="P27" s="16">
        <f t="shared" si="2"/>
        <v>8971.11</v>
      </c>
      <c r="Q27" s="22"/>
      <c r="R27" s="46">
        <v>8971.11</v>
      </c>
    </row>
    <row r="28" spans="1:18" x14ac:dyDescent="0.25">
      <c r="A28" s="38">
        <v>22</v>
      </c>
      <c r="B28" s="47" t="s">
        <v>84</v>
      </c>
      <c r="C28" s="14">
        <v>0</v>
      </c>
      <c r="D28" s="24">
        <v>0</v>
      </c>
      <c r="E28" s="24"/>
      <c r="F28" s="24"/>
      <c r="G28" s="24"/>
      <c r="H28" s="27"/>
      <c r="I28" s="27"/>
      <c r="J28" s="27"/>
      <c r="K28" s="12">
        <f t="shared" si="8"/>
        <v>0</v>
      </c>
      <c r="L28" s="3"/>
      <c r="M28" s="3">
        <v>0</v>
      </c>
      <c r="N28" s="2">
        <f t="shared" si="9"/>
        <v>0</v>
      </c>
      <c r="O28" s="2">
        <f t="shared" si="1"/>
        <v>0</v>
      </c>
      <c r="P28" s="16">
        <f t="shared" si="2"/>
        <v>0</v>
      </c>
      <c r="Q28" s="22"/>
      <c r="R28" s="46">
        <v>0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1731.92</v>
      </c>
      <c r="M29" s="3">
        <v>951.62</v>
      </c>
      <c r="N29" s="2">
        <f t="shared" si="9"/>
        <v>338.97999999999956</v>
      </c>
      <c r="O29" s="2">
        <f t="shared" si="1"/>
        <v>3022.5199999999995</v>
      </c>
      <c r="P29" s="16">
        <f t="shared" si="2"/>
        <v>7531.47</v>
      </c>
      <c r="Q29" s="22"/>
      <c r="R29" s="46">
        <v>7531.47</v>
      </c>
    </row>
    <row r="30" spans="1:18" x14ac:dyDescent="0.25">
      <c r="A30" s="38">
        <v>24</v>
      </c>
      <c r="B30" s="47" t="s">
        <v>55</v>
      </c>
      <c r="C30" s="14">
        <v>7979.57</v>
      </c>
      <c r="D30" s="24"/>
      <c r="E30" s="24"/>
      <c r="F30" s="24"/>
      <c r="G30" s="24"/>
      <c r="H30" s="24"/>
      <c r="I30" s="27"/>
      <c r="J30" s="27"/>
      <c r="K30" s="12">
        <f>SUM(C30:I30)</f>
        <v>7979.57</v>
      </c>
      <c r="L30" s="3">
        <v>1030.8</v>
      </c>
      <c r="M30" s="3">
        <v>926.72</v>
      </c>
      <c r="N30" s="2">
        <f t="shared" ref="N30" si="17">K30-L30-M30-R30</f>
        <v>52.849999999999454</v>
      </c>
      <c r="O30" s="2">
        <f t="shared" ref="O30" si="18">SUM(L30:N30)</f>
        <v>2010.3699999999994</v>
      </c>
      <c r="P30" s="16">
        <f>SUM(K30-O30)+H30</f>
        <v>5969.2000000000007</v>
      </c>
      <c r="Q30" s="22"/>
      <c r="R30" s="46">
        <v>5969.2</v>
      </c>
    </row>
    <row r="31" spans="1:18" x14ac:dyDescent="0.25">
      <c r="A31" s="38">
        <v>25</v>
      </c>
      <c r="B31" s="47" t="s">
        <v>15</v>
      </c>
      <c r="C31" s="14">
        <v>4414.1000000000004</v>
      </c>
      <c r="D31" s="24"/>
      <c r="E31" s="24"/>
      <c r="F31" s="24"/>
      <c r="G31" s="24"/>
      <c r="H31" s="24"/>
      <c r="I31" s="27"/>
      <c r="J31" s="27"/>
      <c r="K31" s="12">
        <f>SUM(C31:I31)</f>
        <v>4414.1000000000004</v>
      </c>
      <c r="L31" s="3">
        <v>181.06</v>
      </c>
      <c r="M31" s="3">
        <v>427.55</v>
      </c>
      <c r="N31" s="2">
        <f t="shared" si="9"/>
        <v>1285.7099999999996</v>
      </c>
      <c r="O31" s="2">
        <f t="shared" si="1"/>
        <v>1894.3199999999997</v>
      </c>
      <c r="P31" s="16">
        <f>SUM(K31-O31)+H31</f>
        <v>2519.7800000000007</v>
      </c>
      <c r="Q31" s="22"/>
      <c r="R31" s="46">
        <v>2519.7800000000002</v>
      </c>
    </row>
    <row r="32" spans="1:18" x14ac:dyDescent="0.25">
      <c r="A32" s="38">
        <v>26</v>
      </c>
      <c r="B32" s="47" t="s">
        <v>79</v>
      </c>
      <c r="C32" s="14">
        <v>4734.03</v>
      </c>
      <c r="D32" s="24"/>
      <c r="E32" s="24"/>
      <c r="F32" s="24"/>
      <c r="G32" s="24"/>
      <c r="H32" s="24"/>
      <c r="I32" s="27"/>
      <c r="J32" s="27"/>
      <c r="K32" s="12">
        <f>SUM(C32:I32)</f>
        <v>4734.03</v>
      </c>
      <c r="L32" s="3">
        <v>253.05</v>
      </c>
      <c r="M32" s="3">
        <v>472.34</v>
      </c>
      <c r="N32" s="2">
        <f t="shared" ref="N32:N33" si="19">K32-L32-M32-R32</f>
        <v>49.349999999999454</v>
      </c>
      <c r="O32" s="2">
        <f t="shared" ref="O32:O33" si="20">SUM(L32:N32)</f>
        <v>774.73999999999944</v>
      </c>
      <c r="P32" s="16">
        <f>SUM(K32-O32)+H32</f>
        <v>3959.2900000000004</v>
      </c>
      <c r="Q32" s="22"/>
      <c r="R32" s="46">
        <v>3959.29</v>
      </c>
    </row>
    <row r="33" spans="1:18" x14ac:dyDescent="0.25">
      <c r="A33" s="38">
        <v>27</v>
      </c>
      <c r="B33" s="47" t="s">
        <v>80</v>
      </c>
      <c r="C33" s="14">
        <v>4640.76</v>
      </c>
      <c r="D33" s="24"/>
      <c r="E33" s="24"/>
      <c r="F33" s="24"/>
      <c r="G33" s="24"/>
      <c r="H33" s="24"/>
      <c r="I33" s="27"/>
      <c r="J33" s="27"/>
      <c r="K33" s="12">
        <f>SUM(C33:I33)</f>
        <v>4640.76</v>
      </c>
      <c r="L33" s="3">
        <v>232.06</v>
      </c>
      <c r="M33" s="3">
        <v>459.29</v>
      </c>
      <c r="N33" s="2">
        <f t="shared" si="19"/>
        <v>49.349999999999909</v>
      </c>
      <c r="O33" s="2">
        <f t="shared" si="20"/>
        <v>740.69999999999993</v>
      </c>
      <c r="P33" s="16">
        <f>SUM(K33-O33)+H33</f>
        <v>3900.0600000000004</v>
      </c>
      <c r="Q33" s="22"/>
      <c r="R33" s="46">
        <v>3900.06</v>
      </c>
    </row>
    <row r="34" spans="1:18" x14ac:dyDescent="0.25">
      <c r="A34" s="38">
        <v>28</v>
      </c>
      <c r="B34" s="47" t="s">
        <v>16</v>
      </c>
      <c r="C34" s="14">
        <f>8606.45+1755.72</f>
        <v>10362.17</v>
      </c>
      <c r="D34" s="24">
        <v>1721.29</v>
      </c>
      <c r="E34" s="24"/>
      <c r="F34" s="24"/>
      <c r="G34" s="24"/>
      <c r="H34" s="24"/>
      <c r="I34" s="27"/>
      <c r="J34" s="27"/>
      <c r="K34" s="12">
        <f>SUM(C34:I34)</f>
        <v>12083.46</v>
      </c>
      <c r="L34" s="3">
        <v>2152.5300000000002</v>
      </c>
      <c r="M34" s="3">
        <f>539.04+412.58</f>
        <v>951.61999999999989</v>
      </c>
      <c r="N34" s="2">
        <f t="shared" si="9"/>
        <v>81.349999999998545</v>
      </c>
      <c r="O34" s="2">
        <f t="shared" si="1"/>
        <v>3185.4999999999986</v>
      </c>
      <c r="P34" s="16">
        <f t="shared" si="2"/>
        <v>8897.9600000000009</v>
      </c>
      <c r="Q34" s="22"/>
      <c r="R34" s="46">
        <v>8897.9599999999991</v>
      </c>
    </row>
    <row r="35" spans="1:18" x14ac:dyDescent="0.25">
      <c r="A35" s="38">
        <v>29</v>
      </c>
      <c r="B35" s="47" t="s">
        <v>17</v>
      </c>
      <c r="C35" s="14">
        <f>18490.01+6434.52</f>
        <v>24924.53</v>
      </c>
      <c r="D35" s="24">
        <v>3698</v>
      </c>
      <c r="E35" s="24"/>
      <c r="F35" s="24"/>
      <c r="G35" s="24"/>
      <c r="H35" s="24"/>
      <c r="I35" s="27"/>
      <c r="J35" s="27"/>
      <c r="K35" s="12">
        <f t="shared" ref="K35:K41" si="21">SUM(C35:I35)</f>
        <v>28622.53</v>
      </c>
      <c r="L35" s="3">
        <v>6700.77</v>
      </c>
      <c r="M35" s="3">
        <v>951.62</v>
      </c>
      <c r="N35" s="2">
        <f t="shared" si="9"/>
        <v>260.16999999999825</v>
      </c>
      <c r="O35" s="2">
        <f t="shared" si="1"/>
        <v>7912.5599999999986</v>
      </c>
      <c r="P35" s="16">
        <f t="shared" si="2"/>
        <v>20709.97</v>
      </c>
      <c r="Q35" s="22"/>
      <c r="R35" s="46">
        <v>20709.97</v>
      </c>
    </row>
    <row r="36" spans="1:18" x14ac:dyDescent="0.25">
      <c r="A36" s="38">
        <v>30</v>
      </c>
      <c r="B36" s="47" t="s">
        <v>56</v>
      </c>
      <c r="C36" s="14">
        <f>7947.91+1430.62</f>
        <v>9378.5299999999988</v>
      </c>
      <c r="D36" s="24">
        <v>1589.58</v>
      </c>
      <c r="E36" s="24"/>
      <c r="F36" s="24"/>
      <c r="G36" s="24"/>
      <c r="H36" s="24"/>
      <c r="I36" s="27"/>
      <c r="J36" s="27"/>
      <c r="K36" s="12">
        <f t="shared" si="21"/>
        <v>10968.109999999999</v>
      </c>
      <c r="L36" s="3">
        <v>1845.8</v>
      </c>
      <c r="M36" s="3">
        <v>951.62</v>
      </c>
      <c r="N36" s="2">
        <f t="shared" si="9"/>
        <v>2384.7199999999993</v>
      </c>
      <c r="O36" s="2">
        <f t="shared" si="1"/>
        <v>5182.1399999999994</v>
      </c>
      <c r="P36" s="16">
        <f t="shared" si="2"/>
        <v>5785.9699999999993</v>
      </c>
      <c r="Q36" s="22"/>
      <c r="R36" s="46">
        <v>5785.97</v>
      </c>
    </row>
    <row r="37" spans="1:18" x14ac:dyDescent="0.25">
      <c r="A37" s="38">
        <v>31</v>
      </c>
      <c r="B37" s="47" t="s">
        <v>18</v>
      </c>
      <c r="C37" s="14">
        <f>7714.16+1125.96</f>
        <v>8840.119999999999</v>
      </c>
      <c r="D37" s="24">
        <f>1542.83+979</f>
        <v>2521.83</v>
      </c>
      <c r="E37" s="24"/>
      <c r="F37" s="24"/>
      <c r="G37" s="24"/>
      <c r="H37" s="24"/>
      <c r="I37" s="27"/>
      <c r="J37" s="27"/>
      <c r="K37" s="12">
        <f t="shared" si="21"/>
        <v>11361.949999999999</v>
      </c>
      <c r="L37" s="3">
        <v>1849.84</v>
      </c>
      <c r="M37" s="3">
        <v>951.62</v>
      </c>
      <c r="N37" s="2">
        <f t="shared" si="9"/>
        <v>3049.8199999999979</v>
      </c>
      <c r="O37" s="2">
        <f t="shared" si="1"/>
        <v>5851.2799999999979</v>
      </c>
      <c r="P37" s="16">
        <f>SUM(K37-O37)+H37</f>
        <v>5510.670000000001</v>
      </c>
      <c r="Q37" s="22"/>
      <c r="R37" s="46">
        <v>5510.67</v>
      </c>
    </row>
    <row r="38" spans="1:18" x14ac:dyDescent="0.25">
      <c r="A38" s="38">
        <v>32</v>
      </c>
      <c r="B38" s="47" t="s">
        <v>83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798.22</v>
      </c>
      <c r="M38" s="3">
        <v>850.76</v>
      </c>
      <c r="N38" s="2">
        <f t="shared" si="9"/>
        <v>454.44999999999982</v>
      </c>
      <c r="O38" s="2">
        <f t="shared" si="1"/>
        <v>2103.4299999999998</v>
      </c>
      <c r="P38" s="16">
        <f>SUM(K38-O38)+H38</f>
        <v>5333.6100000000006</v>
      </c>
      <c r="Q38" s="22"/>
      <c r="R38" s="46">
        <v>5333.61</v>
      </c>
    </row>
    <row r="39" spans="1:18" x14ac:dyDescent="0.25">
      <c r="A39" s="38">
        <v>33</v>
      </c>
      <c r="B39" s="47" t="s">
        <v>53</v>
      </c>
      <c r="C39" s="14">
        <v>4021.28</v>
      </c>
      <c r="D39" s="24"/>
      <c r="E39" s="24"/>
      <c r="F39" s="24"/>
      <c r="G39" s="24"/>
      <c r="H39" s="24"/>
      <c r="I39" s="27"/>
      <c r="J39" s="27"/>
      <c r="K39" s="12">
        <f t="shared" si="21"/>
        <v>4021.28</v>
      </c>
      <c r="L39" s="3">
        <v>117.95</v>
      </c>
      <c r="M39" s="3">
        <v>375.95</v>
      </c>
      <c r="N39" s="2">
        <f t="shared" ref="N39" si="22">K39-L39-M39-R39</f>
        <v>67.970000000000709</v>
      </c>
      <c r="O39" s="2">
        <f t="shared" ref="O39" si="23">SUM(L39:N39)</f>
        <v>561.87000000000069</v>
      </c>
      <c r="P39" s="16">
        <f t="shared" ref="P39" si="24">SUM(K39-O39)</f>
        <v>3459.4099999999994</v>
      </c>
      <c r="Q39" s="22"/>
      <c r="R39" s="46">
        <v>3459.41</v>
      </c>
    </row>
    <row r="40" spans="1:18" x14ac:dyDescent="0.25">
      <c r="A40" s="38">
        <v>34</v>
      </c>
      <c r="B40" s="47" t="s">
        <v>19</v>
      </c>
      <c r="C40" s="14">
        <f>5018.59+890</f>
        <v>5908.59</v>
      </c>
      <c r="D40" s="24">
        <v>543.88</v>
      </c>
      <c r="E40" s="24"/>
      <c r="F40" s="24"/>
      <c r="G40" s="24"/>
      <c r="H40" s="24"/>
      <c r="I40" s="27"/>
      <c r="J40" s="27"/>
      <c r="K40" s="12">
        <f t="shared" si="21"/>
        <v>6452.47</v>
      </c>
      <c r="L40" s="3">
        <v>669.65</v>
      </c>
      <c r="M40" s="3">
        <v>712.92</v>
      </c>
      <c r="N40" s="2">
        <f t="shared" si="9"/>
        <v>321.1200000000008</v>
      </c>
      <c r="O40" s="2">
        <f t="shared" si="1"/>
        <v>1703.6900000000007</v>
      </c>
      <c r="P40" s="16">
        <f t="shared" si="2"/>
        <v>4748.78</v>
      </c>
      <c r="Q40" s="22"/>
      <c r="R40" s="46">
        <v>4748.78</v>
      </c>
    </row>
    <row r="41" spans="1:18" x14ac:dyDescent="0.25">
      <c r="A41" s="38">
        <v>35</v>
      </c>
      <c r="B41" s="47" t="s">
        <v>20</v>
      </c>
      <c r="C41" s="14">
        <f>18861.66+6790.2</f>
        <v>25651.86</v>
      </c>
      <c r="D41" s="24">
        <v>3772.33</v>
      </c>
      <c r="E41" s="24"/>
      <c r="F41" s="24"/>
      <c r="G41" s="24"/>
      <c r="H41" s="24"/>
      <c r="I41" s="27"/>
      <c r="J41" s="27"/>
      <c r="K41" s="12">
        <f t="shared" si="21"/>
        <v>29424.190000000002</v>
      </c>
      <c r="L41" s="3">
        <v>6816.95</v>
      </c>
      <c r="M41" s="3">
        <f>253.54+698.08</f>
        <v>951.62</v>
      </c>
      <c r="N41" s="2">
        <f t="shared" si="9"/>
        <v>102.35000000000218</v>
      </c>
      <c r="O41" s="2">
        <f t="shared" si="1"/>
        <v>7870.9200000000019</v>
      </c>
      <c r="P41" s="16">
        <f t="shared" si="2"/>
        <v>21553.27</v>
      </c>
      <c r="Q41" s="22"/>
      <c r="R41" s="46">
        <v>21553.27</v>
      </c>
    </row>
    <row r="42" spans="1:18" x14ac:dyDescent="0.25">
      <c r="A42" s="38">
        <v>36</v>
      </c>
      <c r="B42" s="48" t="s">
        <v>21</v>
      </c>
      <c r="C42" s="29">
        <f>250.51+40.08</f>
        <v>290.58999999999997</v>
      </c>
      <c r="D42" s="25"/>
      <c r="E42" s="25"/>
      <c r="F42" s="25">
        <f>4068.3+1356.1</f>
        <v>5424.4</v>
      </c>
      <c r="G42" s="24"/>
      <c r="H42" s="24"/>
      <c r="I42" s="27"/>
      <c r="J42" s="27"/>
      <c r="K42" s="30">
        <f t="shared" ref="K42:K51" si="25">SUM(C42:I42)</f>
        <v>5714.99</v>
      </c>
      <c r="L42" s="31">
        <v>518.14</v>
      </c>
      <c r="M42" s="31">
        <f>27.99+581.69</f>
        <v>609.68000000000006</v>
      </c>
      <c r="N42" s="32">
        <f t="shared" ref="N42:N64" si="26">K42-L42-M42-R42</f>
        <v>4324.5699999999988</v>
      </c>
      <c r="O42" s="32">
        <f t="shared" si="1"/>
        <v>5452.3899999999994</v>
      </c>
      <c r="P42" s="33">
        <f t="shared" si="2"/>
        <v>262.60000000000036</v>
      </c>
      <c r="Q42" s="22"/>
      <c r="R42" s="46">
        <v>262.60000000000002</v>
      </c>
    </row>
    <row r="43" spans="1:18" x14ac:dyDescent="0.25">
      <c r="A43" s="38">
        <v>37</v>
      </c>
      <c r="B43" s="48" t="s">
        <v>73</v>
      </c>
      <c r="C43" s="29">
        <v>4975.03</v>
      </c>
      <c r="D43" s="25"/>
      <c r="E43" s="25"/>
      <c r="F43" s="25"/>
      <c r="G43" s="24"/>
      <c r="H43" s="24"/>
      <c r="I43" s="27"/>
      <c r="J43" s="27"/>
      <c r="K43" s="30">
        <f t="shared" ref="K43" si="27">SUM(C43:I43)</f>
        <v>4975.03</v>
      </c>
      <c r="L43" s="31">
        <v>287.37</v>
      </c>
      <c r="M43" s="31">
        <v>506.08</v>
      </c>
      <c r="N43" s="32">
        <f t="shared" ref="N43" si="28">K43-L43-M43-R43</f>
        <v>225.00999999999976</v>
      </c>
      <c r="O43" s="32">
        <f t="shared" ref="O43" si="29">SUM(L43:N43)</f>
        <v>1018.4599999999998</v>
      </c>
      <c r="P43" s="33">
        <f t="shared" ref="P43" si="30">SUM(K43-O43)</f>
        <v>3956.5699999999997</v>
      </c>
      <c r="Q43" s="22"/>
      <c r="R43" s="46">
        <v>3956.57</v>
      </c>
    </row>
    <row r="44" spans="1:18" x14ac:dyDescent="0.25">
      <c r="A44" s="38">
        <v>38</v>
      </c>
      <c r="B44" s="47" t="s">
        <v>22</v>
      </c>
      <c r="C44" s="14">
        <f>6063.01+1859.2</f>
        <v>7922.21</v>
      </c>
      <c r="D44" s="24">
        <v>1087.77</v>
      </c>
      <c r="E44" s="24"/>
      <c r="F44" s="24"/>
      <c r="G44" s="24"/>
      <c r="H44" s="24"/>
      <c r="I44" s="27"/>
      <c r="J44" s="27"/>
      <c r="K44" s="12">
        <f t="shared" si="25"/>
        <v>9009.98</v>
      </c>
      <c r="L44" s="3">
        <v>1307.32</v>
      </c>
      <c r="M44" s="3">
        <f>824.74+126.88</f>
        <v>951.62</v>
      </c>
      <c r="N44" s="2">
        <f t="shared" si="26"/>
        <v>885.98999999999978</v>
      </c>
      <c r="O44" s="2">
        <f t="shared" si="1"/>
        <v>3144.93</v>
      </c>
      <c r="P44" s="16">
        <f t="shared" si="2"/>
        <v>5865.0499999999993</v>
      </c>
      <c r="Q44" s="22"/>
      <c r="R44" s="46">
        <v>5865.05</v>
      </c>
    </row>
    <row r="45" spans="1:18" x14ac:dyDescent="0.25">
      <c r="A45" s="38">
        <v>39</v>
      </c>
      <c r="B45" s="47" t="s">
        <v>23</v>
      </c>
      <c r="C45" s="14">
        <f>12766.35+2425.61</f>
        <v>15191.960000000001</v>
      </c>
      <c r="D45" s="24"/>
      <c r="E45" s="24"/>
      <c r="F45" s="24"/>
      <c r="G45" s="24"/>
      <c r="H45" s="24"/>
      <c r="I45" s="27">
        <v>7589.77</v>
      </c>
      <c r="J45" s="27"/>
      <c r="K45" s="12">
        <f t="shared" si="25"/>
        <v>22781.730000000003</v>
      </c>
      <c r="L45" s="3">
        <v>5042.41</v>
      </c>
      <c r="M45" s="3">
        <f>370.07+581.55</f>
        <v>951.61999999999989</v>
      </c>
      <c r="N45" s="2">
        <f t="shared" si="26"/>
        <v>1072.6800000000039</v>
      </c>
      <c r="O45" s="2">
        <f t="shared" si="1"/>
        <v>7066.7100000000037</v>
      </c>
      <c r="P45" s="16">
        <f t="shared" si="2"/>
        <v>15715.02</v>
      </c>
      <c r="Q45" s="22"/>
      <c r="R45" s="46">
        <v>15715.02</v>
      </c>
    </row>
    <row r="46" spans="1:18" x14ac:dyDescent="0.25">
      <c r="A46" s="38">
        <v>40</v>
      </c>
      <c r="B46" s="47" t="s">
        <v>24</v>
      </c>
      <c r="C46" s="14">
        <f>8735.21+4740.15</f>
        <v>13475.359999999999</v>
      </c>
      <c r="D46" s="24">
        <f>7610.13</f>
        <v>7610.13</v>
      </c>
      <c r="E46" s="24"/>
      <c r="F46" s="24"/>
      <c r="G46" s="24"/>
      <c r="H46" s="24"/>
      <c r="I46" s="27"/>
      <c r="J46" s="27"/>
      <c r="K46" s="12">
        <f t="shared" si="25"/>
        <v>21085.489999999998</v>
      </c>
      <c r="L46" s="3">
        <v>4628.08</v>
      </c>
      <c r="M46" s="3">
        <v>951.62</v>
      </c>
      <c r="N46" s="2">
        <f>K46-L46-M46-R46</f>
        <v>1280.4499999999953</v>
      </c>
      <c r="O46" s="2">
        <f>SUM(L46:N46)</f>
        <v>6860.1499999999951</v>
      </c>
      <c r="P46" s="16">
        <f t="shared" si="2"/>
        <v>14225.340000000004</v>
      </c>
      <c r="Q46" s="22"/>
      <c r="R46" s="46">
        <v>14225.34</v>
      </c>
    </row>
    <row r="47" spans="1:18" x14ac:dyDescent="0.25">
      <c r="A47" s="38">
        <v>41</v>
      </c>
      <c r="B47" s="47" t="s">
        <v>25</v>
      </c>
      <c r="C47" s="14">
        <f>8353.33+1904.56</f>
        <v>10257.89</v>
      </c>
      <c r="D47" s="24">
        <v>1670.67</v>
      </c>
      <c r="E47" s="24"/>
      <c r="F47" s="24"/>
      <c r="G47" s="24"/>
      <c r="H47" s="24"/>
      <c r="I47" s="27"/>
      <c r="J47" s="27"/>
      <c r="K47" s="12">
        <f t="shared" si="25"/>
        <v>11928.56</v>
      </c>
      <c r="L47" s="3">
        <v>2005.65</v>
      </c>
      <c r="M47" s="3">
        <f>427.7+523.92</f>
        <v>951.61999999999989</v>
      </c>
      <c r="N47" s="2">
        <f t="shared" si="26"/>
        <v>615.47000000000116</v>
      </c>
      <c r="O47" s="2">
        <f t="shared" si="1"/>
        <v>3572.7400000000011</v>
      </c>
      <c r="P47" s="16">
        <f t="shared" si="2"/>
        <v>8355.8199999999979</v>
      </c>
      <c r="Q47" s="22"/>
      <c r="R47" s="46">
        <v>8355.82</v>
      </c>
    </row>
    <row r="48" spans="1:18" x14ac:dyDescent="0.25">
      <c r="A48" s="38">
        <v>42</v>
      </c>
      <c r="B48" s="47" t="s">
        <v>77</v>
      </c>
      <c r="C48" s="14">
        <v>3542.35</v>
      </c>
      <c r="D48" s="24"/>
      <c r="E48" s="24"/>
      <c r="F48" s="24"/>
      <c r="G48" s="24"/>
      <c r="H48" s="24"/>
      <c r="I48" s="27"/>
      <c r="J48" s="27"/>
      <c r="K48" s="12">
        <f t="shared" si="25"/>
        <v>3542.35</v>
      </c>
      <c r="L48" s="3">
        <v>46.11</v>
      </c>
      <c r="M48" s="3">
        <v>318.48</v>
      </c>
      <c r="N48" s="2">
        <f t="shared" ref="N48" si="31">K48-L48-M48-R48</f>
        <v>66.709999999999582</v>
      </c>
      <c r="O48" s="2">
        <f t="shared" ref="O48" si="32">SUM(L48:N48)</f>
        <v>431.29999999999961</v>
      </c>
      <c r="P48" s="16">
        <f t="shared" ref="P48" si="33">SUM(K48-O48)</f>
        <v>3111.05</v>
      </c>
      <c r="Q48" s="22"/>
      <c r="R48" s="46">
        <v>3111.05</v>
      </c>
    </row>
    <row r="49" spans="1:18" x14ac:dyDescent="0.25">
      <c r="A49" s="38">
        <v>43</v>
      </c>
      <c r="B49" s="47" t="s">
        <v>26</v>
      </c>
      <c r="C49" s="14">
        <f>8930.35+3429.25</f>
        <v>12359.6</v>
      </c>
      <c r="D49" s="24">
        <f>1786.07</f>
        <v>1786.07</v>
      </c>
      <c r="E49" s="24"/>
      <c r="F49" s="24"/>
      <c r="G49" s="24"/>
      <c r="H49" s="24"/>
      <c r="I49" s="27"/>
      <c r="J49" s="27"/>
      <c r="K49" s="12">
        <f t="shared" si="25"/>
        <v>14145.67</v>
      </c>
      <c r="L49" s="3">
        <v>2667.5</v>
      </c>
      <c r="M49" s="3">
        <v>951.62</v>
      </c>
      <c r="N49" s="2">
        <f t="shared" si="26"/>
        <v>2329.0599999999995</v>
      </c>
      <c r="O49" s="2">
        <f t="shared" si="1"/>
        <v>5948.1799999999994</v>
      </c>
      <c r="P49" s="16">
        <f>SUM(K49-O49)+H49</f>
        <v>8197.4900000000016</v>
      </c>
      <c r="Q49" s="22"/>
      <c r="R49" s="46">
        <v>8197.49</v>
      </c>
    </row>
    <row r="50" spans="1:18" x14ac:dyDescent="0.25">
      <c r="A50" s="38">
        <v>44</v>
      </c>
      <c r="B50" s="47" t="s">
        <v>27</v>
      </c>
      <c r="C50" s="14">
        <f>8188.74+1473.97</f>
        <v>9662.7099999999991</v>
      </c>
      <c r="D50" s="24">
        <v>1637.75</v>
      </c>
      <c r="E50" s="24"/>
      <c r="F50" s="24"/>
      <c r="G50" s="24"/>
      <c r="H50" s="24"/>
      <c r="I50" s="27"/>
      <c r="J50" s="27"/>
      <c r="K50" s="12">
        <f t="shared" si="25"/>
        <v>11300.46</v>
      </c>
      <c r="L50" s="3">
        <v>1937.2</v>
      </c>
      <c r="M50" s="3">
        <f>490.67+460.95</f>
        <v>951.62</v>
      </c>
      <c r="N50" s="2">
        <f t="shared" si="26"/>
        <v>1044.6199999999972</v>
      </c>
      <c r="O50" s="2">
        <f t="shared" si="1"/>
        <v>3933.4399999999973</v>
      </c>
      <c r="P50" s="16">
        <f>SUM(K50-O50)+H50</f>
        <v>7367.0200000000023</v>
      </c>
      <c r="Q50" s="22"/>
      <c r="R50" s="46">
        <v>7367.02</v>
      </c>
    </row>
    <row r="51" spans="1:18" x14ac:dyDescent="0.25">
      <c r="A51" s="38">
        <v>45</v>
      </c>
      <c r="B51" s="47" t="s">
        <v>28</v>
      </c>
      <c r="C51" s="14">
        <v>7011.99</v>
      </c>
      <c r="D51" s="24"/>
      <c r="E51" s="24"/>
      <c r="F51" s="24"/>
      <c r="G51" s="24"/>
      <c r="H51" s="24"/>
      <c r="I51" s="27"/>
      <c r="J51" s="27"/>
      <c r="K51" s="12">
        <f t="shared" si="25"/>
        <v>7011.99</v>
      </c>
      <c r="L51" s="3">
        <v>749.83</v>
      </c>
      <c r="M51" s="3">
        <v>791.26</v>
      </c>
      <c r="N51" s="2">
        <f t="shared" si="26"/>
        <v>1266.7799999999997</v>
      </c>
      <c r="O51" s="2">
        <f t="shared" si="1"/>
        <v>2807.87</v>
      </c>
      <c r="P51" s="16">
        <f t="shared" si="2"/>
        <v>4204.12</v>
      </c>
      <c r="Q51" s="22"/>
      <c r="R51" s="46">
        <v>4204.12</v>
      </c>
    </row>
    <row r="52" spans="1:18" x14ac:dyDescent="0.25">
      <c r="A52" s="38">
        <v>46</v>
      </c>
      <c r="B52" s="47" t="s">
        <v>29</v>
      </c>
      <c r="C52" s="14">
        <f>8107.66+1929.62</f>
        <v>10037.279999999999</v>
      </c>
      <c r="D52" s="24">
        <v>3243.06</v>
      </c>
      <c r="E52" s="24"/>
      <c r="F52" s="24"/>
      <c r="G52" s="24"/>
      <c r="H52" s="24"/>
      <c r="I52" s="27"/>
      <c r="J52" s="27"/>
      <c r="K52" s="12">
        <f t="shared" ref="K52:K60" si="34">SUM(C52:I52)</f>
        <v>13280.339999999998</v>
      </c>
      <c r="L52" s="3">
        <v>2429.5300000000002</v>
      </c>
      <c r="M52" s="3">
        <f>720.8+230.82</f>
        <v>951.61999999999989</v>
      </c>
      <c r="N52" s="2">
        <f t="shared" si="26"/>
        <v>296.5099999999984</v>
      </c>
      <c r="O52" s="2">
        <f t="shared" si="1"/>
        <v>3677.6599999999985</v>
      </c>
      <c r="P52" s="16">
        <f t="shared" si="2"/>
        <v>9602.68</v>
      </c>
      <c r="Q52" s="22"/>
      <c r="R52" s="46">
        <v>9602.68</v>
      </c>
    </row>
    <row r="53" spans="1:18" x14ac:dyDescent="0.25">
      <c r="A53" s="38">
        <v>47</v>
      </c>
      <c r="B53" s="47" t="s">
        <v>30</v>
      </c>
      <c r="C53" s="14">
        <f>8405.24+1309.39</f>
        <v>9714.6299999999992</v>
      </c>
      <c r="D53" s="24">
        <v>1667.01</v>
      </c>
      <c r="E53" s="24"/>
      <c r="F53" s="24"/>
      <c r="G53" s="24"/>
      <c r="H53" s="24"/>
      <c r="I53" s="27"/>
      <c r="J53" s="27"/>
      <c r="K53" s="12">
        <f t="shared" si="34"/>
        <v>11381.64</v>
      </c>
      <c r="L53" s="3">
        <v>1907.39</v>
      </c>
      <c r="M53" s="3">
        <f>606.64+344.98</f>
        <v>951.62</v>
      </c>
      <c r="N53" s="2">
        <f t="shared" si="26"/>
        <v>1076.4899999999989</v>
      </c>
      <c r="O53" s="2">
        <f t="shared" si="1"/>
        <v>3935.4999999999991</v>
      </c>
      <c r="P53" s="16">
        <f t="shared" si="2"/>
        <v>7446.14</v>
      </c>
      <c r="Q53" s="22"/>
      <c r="R53" s="46">
        <v>7446.14</v>
      </c>
    </row>
    <row r="54" spans="1:18" x14ac:dyDescent="0.25">
      <c r="A54" s="38">
        <v>48</v>
      </c>
      <c r="B54" s="47" t="s">
        <v>52</v>
      </c>
      <c r="C54" s="14">
        <v>4021.28</v>
      </c>
      <c r="D54" s="24"/>
      <c r="E54" s="24"/>
      <c r="F54" s="24"/>
      <c r="G54" s="24"/>
      <c r="H54" s="24"/>
      <c r="I54" s="27"/>
      <c r="J54" s="27"/>
      <c r="K54" s="12">
        <f t="shared" si="34"/>
        <v>4021.28</v>
      </c>
      <c r="L54" s="3">
        <v>117.95</v>
      </c>
      <c r="M54" s="3">
        <v>375.95</v>
      </c>
      <c r="N54" s="2">
        <f t="shared" ref="N54" si="35">K54-L54-M54-R54</f>
        <v>288.19000000000051</v>
      </c>
      <c r="O54" s="2">
        <f t="shared" ref="O54" si="36">SUM(L54:N54)</f>
        <v>782.09000000000049</v>
      </c>
      <c r="P54" s="16">
        <f t="shared" ref="P54" si="37">SUM(K54-O54)</f>
        <v>3239.1899999999996</v>
      </c>
      <c r="Q54" s="22"/>
      <c r="R54" s="46">
        <v>3239.19</v>
      </c>
    </row>
    <row r="55" spans="1:18" x14ac:dyDescent="0.25">
      <c r="A55" s="38">
        <v>49</v>
      </c>
      <c r="B55" s="47" t="s">
        <v>31</v>
      </c>
      <c r="C55" s="14">
        <f>18674.91+7395.26</f>
        <v>26070.17</v>
      </c>
      <c r="D55" s="24">
        <v>3734.98</v>
      </c>
      <c r="E55" s="24"/>
      <c r="F55" s="24"/>
      <c r="G55" s="24"/>
      <c r="H55" s="24"/>
      <c r="I55" s="27"/>
      <c r="J55" s="27"/>
      <c r="K55" s="12">
        <f t="shared" si="34"/>
        <v>29805.149999999998</v>
      </c>
      <c r="L55" s="3">
        <v>7025.99</v>
      </c>
      <c r="M55" s="3">
        <v>726</v>
      </c>
      <c r="N55" s="2">
        <f t="shared" si="26"/>
        <v>586.33999999999651</v>
      </c>
      <c r="O55" s="2">
        <f t="shared" si="1"/>
        <v>8338.3299999999963</v>
      </c>
      <c r="P55" s="16">
        <f>SUM(K55-O55)+H55</f>
        <v>21466.82</v>
      </c>
      <c r="Q55" s="22"/>
      <c r="R55" s="46">
        <v>21466.82</v>
      </c>
    </row>
    <row r="56" spans="1:18" x14ac:dyDescent="0.25">
      <c r="A56" s="38">
        <v>50</v>
      </c>
      <c r="B56" s="47" t="s">
        <v>32</v>
      </c>
      <c r="C56" s="14">
        <v>4516.34</v>
      </c>
      <c r="D56" s="24"/>
      <c r="E56" s="24"/>
      <c r="F56" s="24"/>
      <c r="G56" s="24"/>
      <c r="H56" s="24"/>
      <c r="I56" s="27"/>
      <c r="J56" s="27"/>
      <c r="K56" s="12">
        <f t="shared" si="34"/>
        <v>4516.34</v>
      </c>
      <c r="L56" s="3">
        <v>204.07</v>
      </c>
      <c r="M56" s="3">
        <v>441.87</v>
      </c>
      <c r="N56" s="2">
        <f t="shared" si="26"/>
        <v>186.79000000000042</v>
      </c>
      <c r="O56" s="2">
        <f t="shared" si="1"/>
        <v>832.73000000000047</v>
      </c>
      <c r="P56" s="16">
        <f t="shared" si="2"/>
        <v>3683.6099999999997</v>
      </c>
      <c r="Q56" s="22"/>
      <c r="R56" s="46">
        <v>3683.61</v>
      </c>
    </row>
    <row r="57" spans="1:18" x14ac:dyDescent="0.25">
      <c r="A57" s="38">
        <v>51</v>
      </c>
      <c r="B57" s="47" t="s">
        <v>69</v>
      </c>
      <c r="C57" s="14">
        <f>3814.57+203.7</f>
        <v>4018.27</v>
      </c>
      <c r="D57" s="24">
        <v>1278.04</v>
      </c>
      <c r="E57" s="24"/>
      <c r="F57" s="24">
        <f>1611.92+537.31</f>
        <v>2149.23</v>
      </c>
      <c r="G57" s="24"/>
      <c r="H57" s="24"/>
      <c r="I57" s="27"/>
      <c r="J57" s="27"/>
      <c r="K57" s="12">
        <f t="shared" si="34"/>
        <v>7445.5399999999991</v>
      </c>
      <c r="L57" s="3">
        <f>372.2+224.12</f>
        <v>596.31999999999994</v>
      </c>
      <c r="M57" s="3">
        <f>639.92+212.03</f>
        <v>851.94999999999993</v>
      </c>
      <c r="N57" s="2">
        <f t="shared" ref="N57" si="38">K57-L57-M57-R57</f>
        <v>1830.4299999999994</v>
      </c>
      <c r="O57" s="2">
        <f t="shared" ref="O57" si="39">SUM(L57:N57)</f>
        <v>3278.6999999999994</v>
      </c>
      <c r="P57" s="16">
        <f t="shared" ref="P57" si="40">SUM(K57-O57)</f>
        <v>4166.84</v>
      </c>
      <c r="Q57" s="22"/>
      <c r="R57" s="46">
        <v>4166.84</v>
      </c>
    </row>
    <row r="58" spans="1:18" x14ac:dyDescent="0.25">
      <c r="A58" s="38">
        <v>52</v>
      </c>
      <c r="B58" s="47" t="s">
        <v>74</v>
      </c>
      <c r="C58" s="14">
        <v>4733.57</v>
      </c>
      <c r="D58" s="24"/>
      <c r="E58" s="24"/>
      <c r="F58" s="24"/>
      <c r="G58" s="24"/>
      <c r="H58" s="24"/>
      <c r="I58" s="27"/>
      <c r="J58" s="27"/>
      <c r="K58" s="12">
        <f t="shared" si="34"/>
        <v>4733.57</v>
      </c>
      <c r="L58" s="3">
        <v>252.94</v>
      </c>
      <c r="M58" s="3">
        <v>472.28</v>
      </c>
      <c r="N58" s="2">
        <f t="shared" ref="N58" si="41">K58-L58-M58-R58</f>
        <v>915.50000000000045</v>
      </c>
      <c r="O58" s="2">
        <f t="shared" ref="O58" si="42">SUM(L58:N58)</f>
        <v>1640.7200000000005</v>
      </c>
      <c r="P58" s="16">
        <f t="shared" ref="P58" si="43">SUM(K58-O58)</f>
        <v>3092.8499999999995</v>
      </c>
      <c r="Q58" s="22"/>
      <c r="R58" s="46">
        <v>3092.85</v>
      </c>
    </row>
    <row r="59" spans="1:18" x14ac:dyDescent="0.25">
      <c r="A59" s="38">
        <v>53</v>
      </c>
      <c r="B59" s="47" t="s">
        <v>33</v>
      </c>
      <c r="C59" s="14">
        <f>13969.3+6844.96</f>
        <v>20814.259999999998</v>
      </c>
      <c r="D59" s="24">
        <v>5587.72</v>
      </c>
      <c r="E59" s="24"/>
      <c r="F59" s="24">
        <f>5280.4+1760.13</f>
        <v>7040.53</v>
      </c>
      <c r="G59" s="24"/>
      <c r="H59" s="24"/>
      <c r="I59" s="27"/>
      <c r="J59" s="27"/>
      <c r="K59" s="12">
        <f t="shared" si="34"/>
        <v>33442.51</v>
      </c>
      <c r="L59" s="3">
        <f>6184.83+756.58</f>
        <v>6941.41</v>
      </c>
      <c r="M59" s="3">
        <v>951.62</v>
      </c>
      <c r="N59" s="2">
        <f t="shared" si="26"/>
        <v>6552.8700000000026</v>
      </c>
      <c r="O59" s="2">
        <f t="shared" si="1"/>
        <v>14445.900000000001</v>
      </c>
      <c r="P59" s="16">
        <f>SUM(K59-O59)+H59</f>
        <v>18996.61</v>
      </c>
      <c r="Q59" s="22"/>
      <c r="R59" s="46">
        <v>18996.61</v>
      </c>
    </row>
    <row r="60" spans="1:18" x14ac:dyDescent="0.25">
      <c r="A60" s="38">
        <v>54</v>
      </c>
      <c r="B60" s="47" t="s">
        <v>34</v>
      </c>
      <c r="C60" s="14">
        <f>5525.85+1823.53</f>
        <v>7349.38</v>
      </c>
      <c r="D60" s="24"/>
      <c r="E60" s="24"/>
      <c r="F60" s="24">
        <f>1469.88+489.96</f>
        <v>1959.8400000000001</v>
      </c>
      <c r="G60" s="24"/>
      <c r="H60" s="24"/>
      <c r="I60" s="27"/>
      <c r="J60" s="27"/>
      <c r="K60" s="12">
        <f t="shared" si="34"/>
        <v>9309.2200000000012</v>
      </c>
      <c r="L60" s="3">
        <v>892.9</v>
      </c>
      <c r="M60" s="3">
        <v>951.62</v>
      </c>
      <c r="N60" s="2">
        <f t="shared" si="26"/>
        <v>3327.1200000000017</v>
      </c>
      <c r="O60" s="2">
        <f t="shared" si="1"/>
        <v>5171.6400000000012</v>
      </c>
      <c r="P60" s="16">
        <f t="shared" si="2"/>
        <v>4137.58</v>
      </c>
      <c r="Q60" s="22"/>
      <c r="R60" s="46">
        <v>4137.58</v>
      </c>
    </row>
    <row r="61" spans="1:18" x14ac:dyDescent="0.25">
      <c r="A61" s="38">
        <v>55</v>
      </c>
      <c r="B61" s="47" t="s">
        <v>57</v>
      </c>
      <c r="C61" s="14">
        <v>7476.57</v>
      </c>
      <c r="D61" s="24"/>
      <c r="E61" s="24"/>
      <c r="F61" s="24"/>
      <c r="G61" s="24"/>
      <c r="H61" s="24"/>
      <c r="I61" s="27"/>
      <c r="J61" s="27"/>
      <c r="K61" s="12">
        <f>SUM(C61:I61)</f>
        <v>7476.57</v>
      </c>
      <c r="L61" s="3">
        <v>911.84</v>
      </c>
      <c r="M61" s="3">
        <v>856.3</v>
      </c>
      <c r="N61" s="2">
        <f t="shared" ref="N61:N62" si="44">K61-L61-M61-R61</f>
        <v>145.84999999999945</v>
      </c>
      <c r="O61" s="2">
        <f t="shared" ref="O61" si="45">SUM(L61:N61)</f>
        <v>1913.9899999999993</v>
      </c>
      <c r="P61" s="16">
        <f t="shared" ref="P61" si="46">SUM(K61-O61)</f>
        <v>5562.58</v>
      </c>
      <c r="Q61" s="22"/>
      <c r="R61" s="46">
        <v>5562.58</v>
      </c>
    </row>
    <row r="62" spans="1:18" x14ac:dyDescent="0.25">
      <c r="A62" s="38">
        <v>56</v>
      </c>
      <c r="B62" s="49" t="s">
        <v>85</v>
      </c>
      <c r="C62" s="43">
        <v>4504.2700000000004</v>
      </c>
      <c r="D62" s="44"/>
      <c r="E62" s="44"/>
      <c r="F62" s="44"/>
      <c r="G62" s="24"/>
      <c r="H62" s="24"/>
      <c r="I62" s="27"/>
      <c r="J62" s="27"/>
      <c r="K62" s="12">
        <f>SUM(C62:I62)</f>
        <v>4504.2700000000004</v>
      </c>
      <c r="L62" s="45">
        <v>201.35</v>
      </c>
      <c r="M62" s="45">
        <v>440.18</v>
      </c>
      <c r="N62" s="2">
        <f t="shared" si="44"/>
        <v>319.61000000000013</v>
      </c>
      <c r="O62" s="2">
        <f t="shared" ref="O62" si="47">SUM(L62:N62)</f>
        <v>961.1400000000001</v>
      </c>
      <c r="P62" s="16">
        <f t="shared" ref="P62" si="48">SUM(K62-O62)</f>
        <v>3543.13</v>
      </c>
      <c r="Q62" s="22"/>
      <c r="R62" s="46">
        <v>3543.13</v>
      </c>
    </row>
    <row r="63" spans="1:18" x14ac:dyDescent="0.25">
      <c r="A63" s="38">
        <v>57</v>
      </c>
      <c r="B63" s="49" t="s">
        <v>87</v>
      </c>
      <c r="C63" s="43">
        <f>965.84+19.31+1180.12</f>
        <v>2165.27</v>
      </c>
      <c r="D63" s="44"/>
      <c r="E63" s="44"/>
      <c r="F63" s="44">
        <f>3694.33+1231.44</f>
        <v>4925.7700000000004</v>
      </c>
      <c r="G63" s="24"/>
      <c r="H63" s="24">
        <v>4104.8100000000004</v>
      </c>
      <c r="I63" s="27"/>
      <c r="J63" s="27"/>
      <c r="K63" s="12">
        <f>SUM(C63:I63)</f>
        <v>11195.850000000002</v>
      </c>
      <c r="L63" s="45">
        <v>130.47999999999999</v>
      </c>
      <c r="M63" s="45">
        <f>172.1+385.98</f>
        <v>558.08000000000004</v>
      </c>
      <c r="N63" s="2">
        <f t="shared" ref="N63" si="49">K63-L63-M63-R63</f>
        <v>4038.2400000000025</v>
      </c>
      <c r="O63" s="2">
        <f t="shared" ref="O63" si="50">SUM(L63:N63)</f>
        <v>4726.8000000000029</v>
      </c>
      <c r="P63" s="16">
        <f t="shared" ref="P63" si="51">SUM(K63-O63)</f>
        <v>6469.0499999999993</v>
      </c>
      <c r="Q63" s="22"/>
      <c r="R63" s="46">
        <v>6469.05</v>
      </c>
    </row>
    <row r="64" spans="1:18" ht="15.75" thickBot="1" x14ac:dyDescent="0.3">
      <c r="A64" s="38">
        <v>58</v>
      </c>
      <c r="B64" s="50" t="s">
        <v>35</v>
      </c>
      <c r="C64" s="15">
        <f>12514.81+2978.52</f>
        <v>15493.33</v>
      </c>
      <c r="D64" s="26">
        <v>5005.92</v>
      </c>
      <c r="E64" s="26"/>
      <c r="F64" s="26"/>
      <c r="G64" s="26"/>
      <c r="H64" s="26"/>
      <c r="I64" s="28">
        <v>7589.76</v>
      </c>
      <c r="J64" s="28"/>
      <c r="K64" s="13">
        <f>SUM(C64:J64)</f>
        <v>28089.010000000002</v>
      </c>
      <c r="L64" s="10">
        <v>6501.92</v>
      </c>
      <c r="M64" s="10">
        <v>951.62</v>
      </c>
      <c r="N64" s="11">
        <f t="shared" si="26"/>
        <v>59.350000000005821</v>
      </c>
      <c r="O64" s="11">
        <f t="shared" si="1"/>
        <v>7512.8900000000058</v>
      </c>
      <c r="P64" s="17">
        <f t="shared" si="2"/>
        <v>20576.119999999995</v>
      </c>
      <c r="Q64" s="22"/>
      <c r="R64" s="46">
        <v>20576.12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81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65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63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82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76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2025-12-01T12:20:47Z</dcterms:modified>
</cp:coreProperties>
</file>