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 checkCompatibility="1"/>
  <mc:AlternateContent xmlns:mc="http://schemas.openxmlformats.org/markup-compatibility/2006">
    <mc:Choice Requires="x15">
      <x15ac:absPath xmlns:x15ac="http://schemas.microsoft.com/office/spreadsheetml/2010/11/ac" url="\\Srv-fs\dados\User\Contabilidade\DPTO PESSOAL\02 - FOLHA DE PAGAMENTO 2024\FOLHA DE PAGAMENTO\PORTAL DA TRANSPARÊNCIA\09 - SETEMBRO\"/>
    </mc:Choice>
  </mc:AlternateContent>
  <xr:revisionPtr revIDLastSave="0" documentId="13_ncr:1_{47BE33FB-0D6F-4997-8E2B-4001D7888978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mes" sheetId="6" r:id="rId1"/>
  </sheets>
  <definedNames>
    <definedName name="_xlnm.Print_Area" localSheetId="0">mes!$A$1:$P$72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58" i="6" l="1"/>
  <c r="C56" i="6"/>
  <c r="D56" i="6"/>
  <c r="C51" i="6"/>
  <c r="C45" i="6"/>
  <c r="C41" i="6"/>
  <c r="M40" i="6"/>
  <c r="F40" i="6"/>
  <c r="C40" i="6"/>
  <c r="C39" i="6"/>
  <c r="D39" i="6"/>
  <c r="C37" i="6"/>
  <c r="G36" i="6"/>
  <c r="F36" i="6"/>
  <c r="C36" i="6"/>
  <c r="C35" i="6"/>
  <c r="M31" i="6"/>
  <c r="F31" i="6"/>
  <c r="C31" i="6"/>
  <c r="C30" i="6"/>
  <c r="M29" i="6"/>
  <c r="G29" i="6"/>
  <c r="F29" i="6"/>
  <c r="C29" i="6"/>
  <c r="G26" i="6"/>
  <c r="F26" i="6"/>
  <c r="C26" i="6"/>
  <c r="M24" i="6"/>
  <c r="L24" i="6"/>
  <c r="G24" i="6"/>
  <c r="F24" i="6"/>
  <c r="C24" i="6"/>
  <c r="M16" i="6"/>
  <c r="F16" i="6"/>
  <c r="C16" i="6"/>
  <c r="D13" i="6"/>
  <c r="C13" i="6"/>
  <c r="M12" i="6"/>
  <c r="G12" i="6"/>
  <c r="F12" i="6"/>
  <c r="C12" i="6"/>
  <c r="M9" i="6"/>
  <c r="L9" i="6"/>
  <c r="F9" i="6"/>
  <c r="C9" i="6"/>
  <c r="C8" i="6"/>
  <c r="C64" i="6"/>
  <c r="C62" i="6"/>
  <c r="C57" i="6"/>
  <c r="C54" i="6"/>
  <c r="C53" i="6"/>
  <c r="C52" i="6"/>
  <c r="M51" i="6"/>
  <c r="C48" i="6"/>
  <c r="C46" i="6"/>
  <c r="C44" i="6"/>
  <c r="C38" i="6"/>
  <c r="M35" i="6"/>
  <c r="C28" i="6"/>
  <c r="C18" i="6"/>
  <c r="C7" i="6"/>
  <c r="C59" i="6"/>
  <c r="M54" i="6"/>
  <c r="C47" i="6"/>
  <c r="M45" i="6"/>
  <c r="M38" i="6"/>
  <c r="P34" i="6"/>
  <c r="O34" i="6"/>
  <c r="N34" i="6"/>
  <c r="K34" i="6"/>
  <c r="M28" i="6"/>
  <c r="C22" i="6" l="1"/>
  <c r="C15" i="6"/>
  <c r="M26" i="6" l="1"/>
  <c r="C63" i="6" l="1"/>
  <c r="K33" i="6"/>
  <c r="N33" i="6" s="1"/>
  <c r="O33" i="6" s="1"/>
  <c r="P33" i="6" s="1"/>
  <c r="C32" i="6"/>
  <c r="C20" i="6"/>
  <c r="C14" i="6"/>
  <c r="D14" i="6"/>
  <c r="C60" i="6"/>
  <c r="C42" i="6"/>
  <c r="C25" i="6"/>
  <c r="C23" i="6"/>
  <c r="K21" i="6"/>
  <c r="N21" i="6" s="1"/>
  <c r="O21" i="6" s="1"/>
  <c r="P21" i="6" s="1"/>
  <c r="K29" i="6" l="1"/>
  <c r="N29" i="6" s="1"/>
  <c r="O29" i="6" s="1"/>
  <c r="P29" i="6" s="1"/>
  <c r="K28" i="6"/>
  <c r="K19" i="6"/>
  <c r="N19" i="6" s="1"/>
  <c r="K63" i="6"/>
  <c r="N63" i="6" s="1"/>
  <c r="O63" i="6" s="1"/>
  <c r="P63" i="6" s="1"/>
  <c r="K59" i="6"/>
  <c r="N59" i="6" s="1"/>
  <c r="O59" i="6" s="1"/>
  <c r="K49" i="6"/>
  <c r="N49" i="6" s="1"/>
  <c r="O49" i="6" s="1"/>
  <c r="P49" i="6" s="1"/>
  <c r="K44" i="6"/>
  <c r="N44" i="6" s="1"/>
  <c r="O44" i="6" s="1"/>
  <c r="P44" i="6" s="1"/>
  <c r="K37" i="6"/>
  <c r="N37" i="6" s="1"/>
  <c r="O37" i="6" s="1"/>
  <c r="P37" i="6" s="1"/>
  <c r="K10" i="6"/>
  <c r="N28" i="6" l="1"/>
  <c r="O28" i="6" s="1"/>
  <c r="P28" i="6" s="1"/>
  <c r="O19" i="6"/>
  <c r="P19" i="6" s="1"/>
  <c r="P59" i="6"/>
  <c r="N10" i="6"/>
  <c r="O10" i="6" s="1"/>
  <c r="P10" i="6" s="1"/>
  <c r="K58" i="6"/>
  <c r="K64" i="6" l="1"/>
  <c r="K46" i="6"/>
  <c r="N58" i="6"/>
  <c r="O58" i="6" s="1"/>
  <c r="P58" i="6" s="1"/>
  <c r="K13" i="6"/>
  <c r="K9" i="6"/>
  <c r="N9" i="6" s="1"/>
  <c r="O9" i="6" s="1"/>
  <c r="P9" i="6" s="1"/>
  <c r="N13" i="6" l="1"/>
  <c r="O13" i="6" s="1"/>
  <c r="P13" i="6" s="1"/>
  <c r="K56" i="6" l="1"/>
  <c r="K48" i="6"/>
  <c r="K47" i="6"/>
  <c r="K45" i="6"/>
  <c r="K36" i="6"/>
  <c r="K50" i="6"/>
  <c r="K52" i="6"/>
  <c r="K53" i="6"/>
  <c r="K54" i="6"/>
  <c r="K55" i="6"/>
  <c r="K57" i="6"/>
  <c r="K60" i="6"/>
  <c r="K61" i="6"/>
  <c r="K62" i="6"/>
  <c r="K43" i="6"/>
  <c r="K42" i="6"/>
  <c r="K30" i="6"/>
  <c r="K31" i="6"/>
  <c r="K32" i="6"/>
  <c r="K35" i="6"/>
  <c r="K38" i="6"/>
  <c r="K39" i="6"/>
  <c r="K40" i="6"/>
  <c r="K41" i="6"/>
  <c r="K8" i="6"/>
  <c r="K11" i="6"/>
  <c r="K12" i="6"/>
  <c r="K15" i="6"/>
  <c r="K16" i="6"/>
  <c r="K17" i="6"/>
  <c r="K18" i="6"/>
  <c r="K20" i="6"/>
  <c r="K22" i="6"/>
  <c r="K23" i="6"/>
  <c r="K24" i="6"/>
  <c r="K25" i="6"/>
  <c r="K26" i="6"/>
  <c r="K27" i="6"/>
  <c r="K7" i="6"/>
  <c r="K51" i="6" l="1"/>
  <c r="K14" i="6"/>
  <c r="N62" i="6" l="1"/>
  <c r="O62" i="6" s="1"/>
  <c r="P62" i="6" s="1"/>
  <c r="N31" i="6" l="1"/>
  <c r="O31" i="6" s="1"/>
  <c r="P31" i="6" s="1"/>
  <c r="N8" i="6" l="1"/>
  <c r="O8" i="6" s="1"/>
  <c r="P8" i="6" s="1"/>
  <c r="N40" i="6" l="1"/>
  <c r="O40" i="6" s="1"/>
  <c r="P40" i="6" s="1"/>
  <c r="N55" i="6" l="1"/>
  <c r="O55" i="6" s="1"/>
  <c r="P55" i="6" s="1"/>
  <c r="N15" i="6" l="1"/>
  <c r="O15" i="6" s="1"/>
  <c r="P15" i="6" s="1"/>
  <c r="N12" i="6" l="1"/>
  <c r="O12" i="6" s="1"/>
  <c r="P12" i="6" s="1"/>
  <c r="N64" i="6"/>
  <c r="O64" i="6" s="1"/>
  <c r="P64" i="6" s="1"/>
  <c r="N57" i="6"/>
  <c r="O57" i="6" s="1"/>
  <c r="N54" i="6"/>
  <c r="O54" i="6" s="1"/>
  <c r="P54" i="6" s="1"/>
  <c r="N53" i="6"/>
  <c r="O53" i="6" s="1"/>
  <c r="P53" i="6" s="1"/>
  <c r="N52" i="6"/>
  <c r="O52" i="6" s="1"/>
  <c r="N48" i="6"/>
  <c r="O48" i="6" s="1"/>
  <c r="N47" i="6"/>
  <c r="O47" i="6" s="1"/>
  <c r="N46" i="6"/>
  <c r="O46" i="6" s="1"/>
  <c r="P46" i="6" s="1"/>
  <c r="N42" i="6"/>
  <c r="O42" i="6" s="1"/>
  <c r="P42" i="6" s="1"/>
  <c r="N38" i="6"/>
  <c r="O38" i="6" s="1"/>
  <c r="P38" i="6" s="1"/>
  <c r="N36" i="6"/>
  <c r="O36" i="6" s="1"/>
  <c r="P36" i="6" s="1"/>
  <c r="N35" i="6"/>
  <c r="O35" i="6" s="1"/>
  <c r="P35" i="6" s="1"/>
  <c r="N27" i="6"/>
  <c r="O27" i="6" s="1"/>
  <c r="P27" i="6" s="1"/>
  <c r="N25" i="6"/>
  <c r="O25" i="6" s="1"/>
  <c r="P25" i="6" s="1"/>
  <c r="N24" i="6"/>
  <c r="O24" i="6" s="1"/>
  <c r="P24" i="6" s="1"/>
  <c r="N23" i="6"/>
  <c r="O23" i="6" s="1"/>
  <c r="P23" i="6" s="1"/>
  <c r="N22" i="6"/>
  <c r="O22" i="6" s="1"/>
  <c r="P22" i="6" s="1"/>
  <c r="N18" i="6"/>
  <c r="O18" i="6" s="1"/>
  <c r="P18" i="6" s="1"/>
  <c r="N7" i="6"/>
  <c r="O7" i="6" s="1"/>
  <c r="P7" i="6" s="1"/>
  <c r="N45" i="6" l="1"/>
  <c r="O45" i="6" s="1"/>
  <c r="P45" i="6" s="1"/>
  <c r="N61" i="6"/>
  <c r="O61" i="6" s="1"/>
  <c r="P61" i="6" s="1"/>
  <c r="N16" i="6"/>
  <c r="O16" i="6" s="1"/>
  <c r="P16" i="6" s="1"/>
  <c r="N56" i="6"/>
  <c r="O56" i="6" s="1"/>
  <c r="P56" i="6" s="1"/>
  <c r="N50" i="6"/>
  <c r="N51" i="6"/>
  <c r="O51" i="6" s="1"/>
  <c r="P51" i="6" s="1"/>
  <c r="N60" i="6"/>
  <c r="O60" i="6" s="1"/>
  <c r="P60" i="6" s="1"/>
  <c r="N11" i="6"/>
  <c r="O11" i="6" s="1"/>
  <c r="P11" i="6" s="1"/>
  <c r="N32" i="6"/>
  <c r="O32" i="6" s="1"/>
  <c r="P32" i="6" s="1"/>
  <c r="N26" i="6"/>
  <c r="O26" i="6" s="1"/>
  <c r="P26" i="6" s="1"/>
  <c r="N39" i="6"/>
  <c r="O39" i="6" s="1"/>
  <c r="P39" i="6" s="1"/>
  <c r="N43" i="6"/>
  <c r="O43" i="6" s="1"/>
  <c r="P43" i="6" s="1"/>
  <c r="N20" i="6"/>
  <c r="O20" i="6" s="1"/>
  <c r="P20" i="6" s="1"/>
  <c r="N17" i="6"/>
  <c r="O17" i="6" s="1"/>
  <c r="P17" i="6" s="1"/>
  <c r="N14" i="6"/>
  <c r="O14" i="6" s="1"/>
  <c r="P14" i="6" s="1"/>
  <c r="P48" i="6"/>
  <c r="P47" i="6"/>
  <c r="P52" i="6"/>
  <c r="N41" i="6"/>
  <c r="O41" i="6" s="1"/>
  <c r="P41" i="6" s="1"/>
  <c r="P57" i="6"/>
  <c r="O50" i="6" l="1"/>
  <c r="P50" i="6" l="1"/>
  <c r="N30" i="6"/>
  <c r="O30" i="6" s="1"/>
  <c r="P30" i="6" s="1"/>
</calcChain>
</file>

<file path=xl/sharedStrings.xml><?xml version="1.0" encoding="utf-8"?>
<sst xmlns="http://schemas.openxmlformats.org/spreadsheetml/2006/main" count="90" uniqueCount="88">
  <si>
    <t>ADRIANA IAIZZO MAGALHAES</t>
  </si>
  <si>
    <t>ATILA COLONIA CUNNINGHAM</t>
  </si>
  <si>
    <t>BERNADETE DOS SANTOS GONCALVES</t>
  </si>
  <si>
    <t>CELITA ZAIDOVICZ PALTANIN</t>
  </si>
  <si>
    <t>DIRCEU DE FATIMA ZONATTO</t>
  </si>
  <si>
    <t>ELIZANDRA CARVALHO</t>
  </si>
  <si>
    <t>ELIZE SCHNEIDER DUARTE</t>
  </si>
  <si>
    <t>FABRIZIO GUIMARÃES</t>
  </si>
  <si>
    <t>FLAVIO AUGUSTO FORCELLI</t>
  </si>
  <si>
    <t>GERSON LUIZ BORGES DE MACEDO</t>
  </si>
  <si>
    <t>GILBERTO QUADROS</t>
  </si>
  <si>
    <t>GUILHERME CRISTIANO RIBEIRO</t>
  </si>
  <si>
    <t>JAQUELINE ANDREIA FORNAZARI KOHLER</t>
  </si>
  <si>
    <t>JEFERSON LUIZ LUCASKI</t>
  </si>
  <si>
    <t>JERUZA FERNANDES MOURA BURGES</t>
  </si>
  <si>
    <t>JOAO WARDZINSKI</t>
  </si>
  <si>
    <t>LAURA POTIRA MOREIRA DE SOUZA</t>
  </si>
  <si>
    <t>LUCIANA CRISTINA CORRER</t>
  </si>
  <si>
    <t>LUIZ FELIPE WOLFF</t>
  </si>
  <si>
    <t>MANOEL MARCELINO AMARAL</t>
  </si>
  <si>
    <t>MARCO AURELIO ZELASKOS DE CARVALHO</t>
  </si>
  <si>
    <t>MARCOS EUCLIDES ALVES</t>
  </si>
  <si>
    <t>MARIA DE LOURDES BONINI DE ALMEIDA</t>
  </si>
  <si>
    <t>MARLA CRISTINA VASCONCELLOS MORAES</t>
  </si>
  <si>
    <t>MARTIN NEUFELD</t>
  </si>
  <si>
    <t>MAURICIO OSTROWSKI JUNIOR</t>
  </si>
  <si>
    <t>MICHEL DE MENEZES HIROMOTO</t>
  </si>
  <si>
    <t>NADJA NAYRA BAPTISTA ANDREACCI</t>
  </si>
  <si>
    <t>NEILA APARECIDA COSTENARO PAVELSKI</t>
  </si>
  <si>
    <t>NEILOR ARMOND LOPES</t>
  </si>
  <si>
    <t>RAFAEL MARCOS AMARAL</t>
  </si>
  <si>
    <t>ROGERS SILVA GARCEZ DAS NEVES</t>
  </si>
  <si>
    <t>RONALDO VELOSO DE ALCANTARA</t>
  </si>
  <si>
    <t>ROSANA APARECIDA SILVA CARDOSO</t>
  </si>
  <si>
    <t>VALDAIR DE SOUZA</t>
  </si>
  <si>
    <t>VALMIR CORREA DOS SANTOS</t>
  </si>
  <si>
    <t>WANDERLUCIO DOS SANTOS LEITE</t>
  </si>
  <si>
    <t>Remuneração</t>
  </si>
  <si>
    <t>Auxílios</t>
  </si>
  <si>
    <t>Total</t>
  </si>
  <si>
    <t>Rendimentos</t>
  </si>
  <si>
    <t>IR</t>
  </si>
  <si>
    <t>INSS</t>
  </si>
  <si>
    <t xml:space="preserve">Outros </t>
  </si>
  <si>
    <t>Descontos</t>
  </si>
  <si>
    <t>Total de</t>
  </si>
  <si>
    <t>Líquido</t>
  </si>
  <si>
    <t>Nome</t>
  </si>
  <si>
    <t>CONSELHO REGIONAL DE CONTABILIDADE DO PARANÁ</t>
  </si>
  <si>
    <t>FOLHA DE PAGAMENTO</t>
  </si>
  <si>
    <t xml:space="preserve">Honorário de </t>
  </si>
  <si>
    <t>Sucumbência</t>
  </si>
  <si>
    <t>13º Salário</t>
  </si>
  <si>
    <t>RONALD AURELIO KOCHOLIK</t>
  </si>
  <si>
    <t>MARCIA PORDEUS TORRES</t>
  </si>
  <si>
    <t>ALISSON BOBATO DALSANTO</t>
  </si>
  <si>
    <t>KARIN OLIVEIRA SILVA</t>
  </si>
  <si>
    <t>MAIRÊ APARECIDA DAHLEM</t>
  </si>
  <si>
    <t>VICTORIA ROSSINI ANDREIU</t>
  </si>
  <si>
    <t>Gratificações</t>
  </si>
  <si>
    <t>Férias + 1/3</t>
  </si>
  <si>
    <t>Abono Pecuniário</t>
  </si>
  <si>
    <t>+ 1/3</t>
  </si>
  <si>
    <t>Adiantamento</t>
  </si>
  <si>
    <r>
      <rPr>
        <b/>
        <u/>
        <sz val="11"/>
        <color theme="1"/>
        <rFont val="Calibri"/>
        <family val="2"/>
        <scheme val="minor"/>
      </rPr>
      <t>Remuneração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salário, hora extra, vantagem incorporada ao salário.</t>
    </r>
  </si>
  <si>
    <r>
      <rPr>
        <b/>
        <u/>
        <sz val="11"/>
        <color theme="1"/>
        <rFont val="Calibri"/>
        <family val="2"/>
        <scheme val="minor"/>
      </rPr>
      <t>Gratificações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gratificações inerentes ao exercício de uma especialidade, pelo exercício de função de confiança, pela qualificação e pelo aperfeiçoamento.</t>
    </r>
  </si>
  <si>
    <r>
      <rPr>
        <b/>
        <u/>
        <sz val="11"/>
        <color theme="1"/>
        <rFont val="Calibri"/>
        <family val="2"/>
        <scheme val="minor"/>
      </rPr>
      <t>Auxílios</t>
    </r>
    <r>
      <rPr>
        <sz val="11"/>
        <color theme="1"/>
        <rFont val="Calibri"/>
        <family val="2"/>
        <scheme val="minor"/>
      </rPr>
      <t>: auxílio pós graduação.</t>
    </r>
  </si>
  <si>
    <r>
      <rPr>
        <b/>
        <u/>
        <sz val="11"/>
        <color rgb="FFFF0000"/>
        <rFont val="Calibri"/>
        <family val="2"/>
        <scheme val="minor"/>
      </rPr>
      <t>Descrição dos Campos</t>
    </r>
    <r>
      <rPr>
        <b/>
        <sz val="11"/>
        <color rgb="FFFF0000"/>
        <rFont val="Calibri"/>
        <family val="2"/>
        <scheme val="minor"/>
      </rPr>
      <t>:</t>
    </r>
  </si>
  <si>
    <t>Indenização</t>
  </si>
  <si>
    <t>PDV</t>
  </si>
  <si>
    <t>CARLOS ALBERTO JUNGLES DE CAMARGO</t>
  </si>
  <si>
    <t>SARA EMMANUELLE MARTINS SCARPETTA</t>
  </si>
  <si>
    <t>ANA PAULA ANBIEL GAIGNER</t>
  </si>
  <si>
    <t>IRAN LUIZ CORDEIRO</t>
  </si>
  <si>
    <t>ANNE KAROLYNE CABRAL FORTUNATO</t>
  </si>
  <si>
    <t>MAICON ALLAN MARTINS GADIOLI</t>
  </si>
  <si>
    <t>MARILIZA MIOTTO</t>
  </si>
  <si>
    <t>SIBELLI CRISTINA SABINO</t>
  </si>
  <si>
    <t>VINICIUS HERRERA FRANCESCHINI</t>
  </si>
  <si>
    <t>FERNANDA FERRARI ZRZEBIELA</t>
  </si>
  <si>
    <r>
      <rPr>
        <b/>
        <u/>
        <sz val="11"/>
        <color theme="1"/>
        <rFont val="Calibri"/>
        <family val="2"/>
        <scheme val="minor"/>
      </rPr>
      <t>Outros descontos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consignados, plano de saúde, alimentação/refeição, vale transporte, pensão alimentícia, entre outros.</t>
    </r>
  </si>
  <si>
    <t>JESSICA ROMANI</t>
  </si>
  <si>
    <t>MURILLO GRAZIANI</t>
  </si>
  <si>
    <t>GABRIEL MACIEL DE CORDOVA</t>
  </si>
  <si>
    <t>LUANA EDITH CUNNINGHAM CHEMIM</t>
  </si>
  <si>
    <t>LUCAS KALIL DA LUZ</t>
  </si>
  <si>
    <t>É concedido a todos os funcionários o Auxílio alimentação, subdividido em duas modalidades: Cesta básica no valor de R$ 700,00 por mês e o Vale refeição no valor diário de R$ 35,00, num  total de 22 vales por mês.</t>
  </si>
  <si>
    <t>SETEMBRO/2024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</si>
</sst>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R$&quot;\ * #,##0.00_-;\-&quot;R$&quot;\ * #,##0.00_-;_-&quot;R$&quot;\ * &quot;-&quot;??_-;_-@_-"/>
    <numFmt numFmtId="164" formatCode="#,##0.00_ ;\-#,##0.00\ "/>
  </numFmts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1"/>
      <color theme="1"/>
      <name val="Times New Roman"/>
      <family val="1"/>
    </font>
    <font>
      <b/>
      <sz val="13"/>
      <color theme="1"/>
      <name val="Times New Roman"/>
      <family val="1"/>
    </font>
    <font>
      <b/>
      <u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1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31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/>
    <xf numFmtId="44" fontId="5" fillId="0" borderId="0" applyFont="0" applyFill="0" applyBorder="0" applyAlignment="0" applyProtection="0"/>
  </cellStyleXfs>
  <cellXfs count="74">
    <xf numFmtId="0" fontId="0" fillId="0" borderId="0" xfId="0"/>
    <xf numFmtId="164" fontId="0" fillId="0" borderId="0" xfId="0" applyNumberFormat="1"/>
    <xf numFmtId="164" fontId="0" fillId="0" borderId="3" xfId="0" applyNumberFormat="1" applyBorder="1"/>
    <xf numFmtId="164" fontId="0" fillId="0" borderId="3" xfId="0" applyNumberFormat="1" applyBorder="1" applyProtection="1">
      <protection locked="0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9" fillId="0" borderId="2" xfId="0" applyFont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164" fontId="0" fillId="0" borderId="15" xfId="0" applyNumberFormat="1" applyBorder="1" applyProtection="1">
      <protection locked="0"/>
    </xf>
    <xf numFmtId="164" fontId="0" fillId="0" borderId="15" xfId="0" applyNumberFormat="1" applyBorder="1"/>
    <xf numFmtId="164" fontId="1" fillId="4" borderId="4" xfId="0" applyNumberFormat="1" applyFont="1" applyFill="1" applyBorder="1"/>
    <xf numFmtId="164" fontId="1" fillId="4" borderId="5" xfId="0" applyNumberFormat="1" applyFont="1" applyFill="1" applyBorder="1"/>
    <xf numFmtId="164" fontId="1" fillId="4" borderId="4" xfId="0" applyNumberFormat="1" applyFont="1" applyFill="1" applyBorder="1" applyProtection="1">
      <protection locked="0"/>
    </xf>
    <xf numFmtId="164" fontId="1" fillId="4" borderId="5" xfId="0" applyNumberFormat="1" applyFont="1" applyFill="1" applyBorder="1" applyProtection="1">
      <protection locked="0"/>
    </xf>
    <xf numFmtId="164" fontId="1" fillId="2" borderId="20" xfId="0" applyNumberFormat="1" applyFont="1" applyFill="1" applyBorder="1"/>
    <xf numFmtId="164" fontId="1" fillId="2" borderId="21" xfId="0" applyNumberFormat="1" applyFont="1" applyFill="1" applyBorder="1"/>
    <xf numFmtId="0" fontId="1" fillId="3" borderId="16" xfId="0" applyFont="1" applyFill="1" applyBorder="1" applyAlignment="1">
      <alignment horizontal="center"/>
    </xf>
    <xf numFmtId="0" fontId="1" fillId="3" borderId="22" xfId="0" applyFont="1" applyFill="1" applyBorder="1" applyAlignment="1">
      <alignment horizontal="center"/>
    </xf>
    <xf numFmtId="0" fontId="1" fillId="3" borderId="19" xfId="0" applyFont="1" applyFill="1" applyBorder="1" applyAlignment="1">
      <alignment horizontal="center"/>
    </xf>
    <xf numFmtId="0" fontId="1" fillId="3" borderId="23" xfId="0" applyFont="1" applyFill="1" applyBorder="1" applyAlignment="1">
      <alignment horizontal="center"/>
    </xf>
    <xf numFmtId="0" fontId="1" fillId="0" borderId="0" xfId="0" applyFont="1"/>
    <xf numFmtId="0" fontId="6" fillId="0" borderId="0" xfId="0" applyFont="1" applyProtection="1">
      <protection locked="0"/>
    </xf>
    <xf numFmtId="164" fontId="1" fillId="0" borderId="3" xfId="0" applyNumberFormat="1" applyFont="1" applyBorder="1" applyProtection="1">
      <protection locked="0"/>
    </xf>
    <xf numFmtId="164" fontId="1" fillId="0" borderId="24" xfId="0" applyNumberFormat="1" applyFont="1" applyBorder="1" applyProtection="1">
      <protection locked="0"/>
    </xf>
    <xf numFmtId="164" fontId="1" fillId="0" borderId="15" xfId="0" applyNumberFormat="1" applyFont="1" applyBorder="1" applyProtection="1">
      <protection locked="0"/>
    </xf>
    <xf numFmtId="164" fontId="1" fillId="0" borderId="3" xfId="0" applyNumberFormat="1" applyFont="1" applyBorder="1" applyAlignment="1" applyProtection="1">
      <alignment horizontal="center"/>
      <protection locked="0"/>
    </xf>
    <xf numFmtId="164" fontId="1" fillId="0" borderId="15" xfId="0" applyNumberFormat="1" applyFont="1" applyBorder="1" applyAlignment="1" applyProtection="1">
      <alignment horizontal="right"/>
      <protection locked="0"/>
    </xf>
    <xf numFmtId="164" fontId="1" fillId="4" borderId="26" xfId="0" applyNumberFormat="1" applyFont="1" applyFill="1" applyBorder="1" applyProtection="1">
      <protection locked="0"/>
    </xf>
    <xf numFmtId="164" fontId="1" fillId="4" borderId="26" xfId="0" applyNumberFormat="1" applyFont="1" applyFill="1" applyBorder="1"/>
    <xf numFmtId="164" fontId="0" fillId="0" borderId="24" xfId="0" applyNumberFormat="1" applyBorder="1" applyProtection="1">
      <protection locked="0"/>
    </xf>
    <xf numFmtId="164" fontId="0" fillId="0" borderId="24" xfId="0" applyNumberFormat="1" applyBorder="1"/>
    <xf numFmtId="164" fontId="1" fillId="2" borderId="27" xfId="0" applyNumberFormat="1" applyFont="1" applyFill="1" applyBorder="1"/>
    <xf numFmtId="0" fontId="1" fillId="3" borderId="16" xfId="0" applyFont="1" applyFill="1" applyBorder="1" applyAlignment="1">
      <alignment horizontal="center" vertical="center"/>
    </xf>
    <xf numFmtId="0" fontId="1" fillId="3" borderId="16" xfId="0" applyFont="1" applyFill="1" applyBorder="1" applyAlignment="1">
      <alignment vertical="center"/>
    </xf>
    <xf numFmtId="49" fontId="1" fillId="3" borderId="22" xfId="0" applyNumberFormat="1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vertical="center"/>
    </xf>
    <xf numFmtId="0" fontId="0" fillId="0" borderId="0" xfId="0" applyAlignment="1">
      <alignment horizontal="center"/>
    </xf>
    <xf numFmtId="164" fontId="2" fillId="0" borderId="0" xfId="0" applyNumberFormat="1" applyFont="1" applyAlignment="1" applyProtection="1">
      <alignment horizontal="left"/>
      <protection locked="0"/>
    </xf>
    <xf numFmtId="49" fontId="8" fillId="2" borderId="8" xfId="0" applyNumberFormat="1" applyFont="1" applyFill="1" applyBorder="1" applyAlignment="1">
      <alignment horizontal="center"/>
    </xf>
    <xf numFmtId="164" fontId="0" fillId="0" borderId="0" xfId="0" applyNumberFormat="1" applyProtection="1">
      <protection locked="0"/>
    </xf>
    <xf numFmtId="0" fontId="1" fillId="0" borderId="3" xfId="0" applyFont="1" applyBorder="1" applyProtection="1">
      <protection locked="0"/>
    </xf>
    <xf numFmtId="164" fontId="1" fillId="4" borderId="29" xfId="0" applyNumberFormat="1" applyFont="1" applyFill="1" applyBorder="1" applyProtection="1">
      <protection locked="0"/>
    </xf>
    <xf numFmtId="164" fontId="1" fillId="0" borderId="30" xfId="0" applyNumberFormat="1" applyFont="1" applyBorder="1" applyProtection="1">
      <protection locked="0"/>
    </xf>
    <xf numFmtId="164" fontId="0" fillId="0" borderId="30" xfId="0" applyNumberFormat="1" applyBorder="1" applyProtection="1">
      <protection locked="0"/>
    </xf>
    <xf numFmtId="44" fontId="1" fillId="0" borderId="0" xfId="1" applyFont="1" applyFill="1" applyProtection="1">
      <protection locked="0"/>
    </xf>
    <xf numFmtId="0" fontId="4" fillId="0" borderId="17" xfId="0" applyFont="1" applyBorder="1"/>
    <xf numFmtId="0" fontId="4" fillId="0" borderId="25" xfId="0" applyFont="1" applyBorder="1"/>
    <xf numFmtId="0" fontId="4" fillId="0" borderId="28" xfId="0" applyFont="1" applyBorder="1"/>
    <xf numFmtId="0" fontId="4" fillId="0" borderId="18" xfId="0" applyFont="1" applyBorder="1"/>
    <xf numFmtId="0" fontId="0" fillId="4" borderId="13" xfId="0" applyFill="1" applyBorder="1" applyAlignment="1" applyProtection="1">
      <alignment horizontal="left"/>
      <protection locked="0"/>
    </xf>
    <xf numFmtId="0" fontId="0" fillId="4" borderId="2" xfId="0" applyFill="1" applyBorder="1" applyAlignment="1" applyProtection="1">
      <alignment horizontal="left"/>
      <protection locked="0"/>
    </xf>
    <xf numFmtId="0" fontId="0" fillId="4" borderId="14" xfId="0" applyFill="1" applyBorder="1" applyAlignment="1" applyProtection="1">
      <alignment horizontal="left"/>
      <protection locked="0"/>
    </xf>
    <xf numFmtId="0" fontId="0" fillId="4" borderId="11" xfId="0" applyFill="1" applyBorder="1" applyAlignment="1" applyProtection="1">
      <alignment horizontal="left"/>
      <protection locked="0"/>
    </xf>
    <xf numFmtId="0" fontId="0" fillId="4" borderId="0" xfId="0" applyFill="1" applyAlignment="1" applyProtection="1">
      <alignment horizontal="left"/>
      <protection locked="0"/>
    </xf>
    <xf numFmtId="0" fontId="0" fillId="4" borderId="12" xfId="0" applyFill="1" applyBorder="1" applyAlignment="1" applyProtection="1">
      <alignment horizontal="left"/>
      <protection locked="0"/>
    </xf>
    <xf numFmtId="0" fontId="12" fillId="4" borderId="11" xfId="0" applyFont="1" applyFill="1" applyBorder="1" applyAlignment="1" applyProtection="1">
      <alignment horizontal="left"/>
      <protection locked="0"/>
    </xf>
    <xf numFmtId="0" fontId="12" fillId="4" borderId="0" xfId="0" applyFont="1" applyFill="1" applyAlignment="1" applyProtection="1">
      <alignment horizontal="left"/>
      <protection locked="0"/>
    </xf>
    <xf numFmtId="0" fontId="12" fillId="4" borderId="12" xfId="0" applyFont="1" applyFill="1" applyBorder="1" applyAlignment="1" applyProtection="1">
      <alignment horizontal="left"/>
      <protection locked="0"/>
    </xf>
    <xf numFmtId="0" fontId="4" fillId="4" borderId="9" xfId="0" applyFont="1" applyFill="1" applyBorder="1" applyAlignment="1" applyProtection="1">
      <alignment horizontal="left"/>
      <protection locked="0"/>
    </xf>
    <xf numFmtId="0" fontId="4" fillId="4" borderId="1" xfId="0" applyFont="1" applyFill="1" applyBorder="1" applyAlignment="1" applyProtection="1">
      <alignment horizontal="left"/>
      <protection locked="0"/>
    </xf>
    <xf numFmtId="0" fontId="4" fillId="4" borderId="10" xfId="0" applyFont="1" applyFill="1" applyBorder="1" applyAlignment="1" applyProtection="1">
      <alignment horizontal="left"/>
      <protection locked="0"/>
    </xf>
    <xf numFmtId="0" fontId="0" fillId="0" borderId="0" xfId="0" applyAlignment="1">
      <alignment horizontal="center"/>
    </xf>
    <xf numFmtId="0" fontId="10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1" fillId="3" borderId="9" xfId="0" applyFont="1" applyFill="1" applyBorder="1" applyAlignment="1">
      <alignment horizontal="left" vertical="center"/>
    </xf>
    <xf numFmtId="0" fontId="1" fillId="3" borderId="13" xfId="0" applyFont="1" applyFill="1" applyBorder="1" applyAlignment="1">
      <alignment horizontal="left" vertical="center"/>
    </xf>
    <xf numFmtId="0" fontId="1" fillId="3" borderId="16" xfId="0" applyFont="1" applyFill="1" applyBorder="1" applyAlignment="1">
      <alignment horizontal="center" vertical="center"/>
    </xf>
    <xf numFmtId="0" fontId="1" fillId="3" borderId="2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79"/>
  <sheetViews>
    <sheetView tabSelected="1" zoomScaleNormal="100" workbookViewId="0">
      <pane xSplit="2" ySplit="6" topLeftCell="C7" activePane="bottomRight" state="frozen"/>
      <selection pane="topRight" activeCell="B1" sqref="B1"/>
      <selection pane="bottomLeft" activeCell="A7" sqref="A7"/>
      <selection pane="bottomRight" activeCell="B5" sqref="B5:B6"/>
    </sheetView>
  </sheetViews>
  <sheetFormatPr defaultRowHeight="15" outlineLevelCol="1" x14ac:dyDescent="0.25"/>
  <cols>
    <col min="1" max="1" width="3.7109375" customWidth="1"/>
    <col min="2" max="2" width="45.42578125" customWidth="1"/>
    <col min="3" max="3" width="13.28515625" bestFit="1" customWidth="1"/>
    <col min="4" max="4" width="12.5703125" bestFit="1" customWidth="1"/>
    <col min="5" max="5" width="8.140625" bestFit="1" customWidth="1"/>
    <col min="6" max="6" width="11" bestFit="1" customWidth="1"/>
    <col min="7" max="7" width="16.85546875" bestFit="1" customWidth="1"/>
    <col min="8" max="8" width="13.5703125" customWidth="1"/>
    <col min="9" max="9" width="13.140625" bestFit="1" customWidth="1"/>
    <col min="10" max="10" width="11.5703125" bestFit="1" customWidth="1"/>
    <col min="11" max="11" width="12.85546875" bestFit="1" customWidth="1"/>
    <col min="12" max="12" width="10.7109375" bestFit="1" customWidth="1"/>
    <col min="13" max="13" width="10.7109375" customWidth="1"/>
    <col min="14" max="16" width="10.5703125" bestFit="1" customWidth="1"/>
    <col min="17" max="17" width="1.42578125" customWidth="1"/>
    <col min="18" max="18" width="15.85546875" hidden="1" customWidth="1" outlineLevel="1"/>
    <col min="19" max="19" width="9.140625" collapsed="1"/>
  </cols>
  <sheetData>
    <row r="1" spans="1:19" ht="16.5" x14ac:dyDescent="0.25">
      <c r="B1" s="64" t="s">
        <v>48</v>
      </c>
      <c r="C1" s="64"/>
      <c r="D1" s="64"/>
      <c r="E1" s="64"/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</row>
    <row r="2" spans="1:19" ht="16.5" x14ac:dyDescent="0.25">
      <c r="B2" s="64" t="s">
        <v>49</v>
      </c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64"/>
    </row>
    <row r="3" spans="1:19" ht="4.5" customHeight="1" thickBot="1" x14ac:dyDescent="0.3"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</row>
    <row r="4" spans="1:19" ht="19.5" thickBot="1" x14ac:dyDescent="0.35">
      <c r="B4" s="40" t="s">
        <v>87</v>
      </c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</row>
    <row r="5" spans="1:19" x14ac:dyDescent="0.25">
      <c r="B5" s="66" t="s">
        <v>47</v>
      </c>
      <c r="C5" s="68" t="s">
        <v>37</v>
      </c>
      <c r="D5" s="72" t="s">
        <v>59</v>
      </c>
      <c r="E5" s="68" t="s">
        <v>38</v>
      </c>
      <c r="F5" s="68" t="s">
        <v>60</v>
      </c>
      <c r="G5" s="34" t="s">
        <v>61</v>
      </c>
      <c r="H5" s="35" t="s">
        <v>63</v>
      </c>
      <c r="I5" s="18" t="s">
        <v>50</v>
      </c>
      <c r="J5" s="8" t="s">
        <v>68</v>
      </c>
      <c r="K5" s="18" t="s">
        <v>39</v>
      </c>
      <c r="L5" s="70" t="s">
        <v>41</v>
      </c>
      <c r="M5" s="68" t="s">
        <v>42</v>
      </c>
      <c r="N5" s="18" t="s">
        <v>43</v>
      </c>
      <c r="O5" s="8" t="s">
        <v>45</v>
      </c>
      <c r="P5" s="20" t="s">
        <v>39</v>
      </c>
    </row>
    <row r="6" spans="1:19" ht="15.75" thickBot="1" x14ac:dyDescent="0.3">
      <c r="B6" s="67"/>
      <c r="C6" s="69"/>
      <c r="D6" s="73"/>
      <c r="E6" s="69"/>
      <c r="F6" s="69"/>
      <c r="G6" s="36" t="s">
        <v>62</v>
      </c>
      <c r="H6" s="37" t="s">
        <v>52</v>
      </c>
      <c r="I6" s="19" t="s">
        <v>51</v>
      </c>
      <c r="J6" s="9" t="s">
        <v>69</v>
      </c>
      <c r="K6" s="19" t="s">
        <v>40</v>
      </c>
      <c r="L6" s="71"/>
      <c r="M6" s="69"/>
      <c r="N6" s="19" t="s">
        <v>44</v>
      </c>
      <c r="O6" s="9" t="s">
        <v>44</v>
      </c>
      <c r="P6" s="21" t="s">
        <v>46</v>
      </c>
    </row>
    <row r="7" spans="1:19" x14ac:dyDescent="0.25">
      <c r="A7" s="38">
        <v>1</v>
      </c>
      <c r="B7" s="47" t="s">
        <v>0</v>
      </c>
      <c r="C7" s="14">
        <f>7525.03+962.48</f>
        <v>8487.51</v>
      </c>
      <c r="D7" s="24">
        <v>3169.18</v>
      </c>
      <c r="E7" s="24"/>
      <c r="F7" s="24"/>
      <c r="G7" s="24"/>
      <c r="H7" s="24"/>
      <c r="I7" s="27"/>
      <c r="J7" s="27"/>
      <c r="K7" s="12">
        <f t="shared" ref="K7:K14" si="0">SUM(C7:I7)</f>
        <v>11656.69</v>
      </c>
      <c r="L7" s="3">
        <v>2059.66</v>
      </c>
      <c r="M7" s="3">
        <v>908.85</v>
      </c>
      <c r="N7" s="2">
        <f>K7-L7-M7-R7</f>
        <v>43.290000000000873</v>
      </c>
      <c r="O7" s="2">
        <f t="shared" ref="O7:O64" si="1">SUM(L7:N7)</f>
        <v>3011.8000000000006</v>
      </c>
      <c r="P7" s="16">
        <f t="shared" ref="P7:P64" si="2">SUM(K7-O7)</f>
        <v>8644.89</v>
      </c>
      <c r="Q7" s="22"/>
      <c r="R7" s="46">
        <v>8644.89</v>
      </c>
    </row>
    <row r="8" spans="1:19" x14ac:dyDescent="0.25">
      <c r="A8" s="38">
        <v>2</v>
      </c>
      <c r="B8" s="47" t="s">
        <v>55</v>
      </c>
      <c r="C8" s="14">
        <f>3469.63+398.33</f>
        <v>3867.96</v>
      </c>
      <c r="D8" s="24">
        <v>3169.18</v>
      </c>
      <c r="E8" s="24"/>
      <c r="F8" s="24"/>
      <c r="G8" s="24"/>
      <c r="H8" s="24"/>
      <c r="I8" s="27"/>
      <c r="J8" s="27"/>
      <c r="K8" s="12">
        <f t="shared" si="0"/>
        <v>7037.1399999999994</v>
      </c>
      <c r="L8" s="3">
        <v>818.11</v>
      </c>
      <c r="M8" s="3">
        <v>804.01</v>
      </c>
      <c r="N8" s="2">
        <f t="shared" ref="N8:N13" si="3">K8-L8-M8-R8</f>
        <v>132.54999999999927</v>
      </c>
      <c r="O8" s="2">
        <f t="shared" si="1"/>
        <v>1754.6699999999992</v>
      </c>
      <c r="P8" s="16">
        <f t="shared" si="2"/>
        <v>5282.47</v>
      </c>
      <c r="Q8" s="22"/>
      <c r="R8" s="46">
        <v>5282.47</v>
      </c>
    </row>
    <row r="9" spans="1:19" x14ac:dyDescent="0.25">
      <c r="A9" s="38">
        <v>3</v>
      </c>
      <c r="B9" s="47" t="s">
        <v>72</v>
      </c>
      <c r="C9" s="14">
        <f>3158.08+113.69</f>
        <v>3271.77</v>
      </c>
      <c r="D9" s="24">
        <v>631.62</v>
      </c>
      <c r="E9" s="24"/>
      <c r="F9">
        <f>3903.38+1301.13</f>
        <v>5204.51</v>
      </c>
      <c r="H9" s="24"/>
      <c r="I9" s="27"/>
      <c r="J9" s="27"/>
      <c r="K9" s="12">
        <f t="shared" ref="K9:K10" si="4">SUM(C9:I9)</f>
        <v>9107.9</v>
      </c>
      <c r="L9" s="3">
        <f>119.35+381.16</f>
        <v>500.51</v>
      </c>
      <c r="M9" s="3">
        <f>361.41+547.44</f>
        <v>908.85000000000014</v>
      </c>
      <c r="N9" s="2">
        <f t="shared" ref="N9:N10" si="5">K9-L9-M9-R9</f>
        <v>5159.2699999999986</v>
      </c>
      <c r="O9" s="2">
        <f t="shared" ref="O9:O10" si="6">SUM(L9:N9)</f>
        <v>6568.6299999999992</v>
      </c>
      <c r="P9" s="16">
        <f t="shared" ref="P9:P10" si="7">SUM(K9-O9)</f>
        <v>2539.2700000000004</v>
      </c>
      <c r="Q9" s="22"/>
      <c r="R9" s="46">
        <v>2539.27</v>
      </c>
    </row>
    <row r="10" spans="1:19" x14ac:dyDescent="0.25">
      <c r="A10" s="38">
        <v>4</v>
      </c>
      <c r="B10" s="47" t="s">
        <v>74</v>
      </c>
      <c r="C10" s="14">
        <v>4324.45</v>
      </c>
      <c r="D10" s="24"/>
      <c r="E10" s="24"/>
      <c r="F10" s="24"/>
      <c r="G10" s="24"/>
      <c r="H10" s="24"/>
      <c r="I10" s="27"/>
      <c r="J10" s="27"/>
      <c r="K10" s="12">
        <f t="shared" si="4"/>
        <v>4324.45</v>
      </c>
      <c r="L10" s="3">
        <v>183.15</v>
      </c>
      <c r="M10" s="3">
        <v>424.23</v>
      </c>
      <c r="N10" s="2">
        <f t="shared" si="5"/>
        <v>8.3500000000003638</v>
      </c>
      <c r="O10" s="2">
        <f t="shared" si="6"/>
        <v>615.73000000000036</v>
      </c>
      <c r="P10" s="16">
        <f t="shared" si="7"/>
        <v>3708.7199999999993</v>
      </c>
      <c r="Q10" s="22"/>
      <c r="R10" s="46">
        <v>3708.72</v>
      </c>
    </row>
    <row r="11" spans="1:19" x14ac:dyDescent="0.25">
      <c r="A11" s="38">
        <v>5</v>
      </c>
      <c r="B11" s="47" t="s">
        <v>1</v>
      </c>
      <c r="C11" s="14">
        <v>4743.88</v>
      </c>
      <c r="D11" s="24"/>
      <c r="E11" s="24"/>
      <c r="F11" s="24"/>
      <c r="G11" s="24"/>
      <c r="H11" s="24"/>
      <c r="I11" s="27"/>
      <c r="J11" s="27"/>
      <c r="K11" s="12">
        <f t="shared" si="0"/>
        <v>4743.88</v>
      </c>
      <c r="L11" s="3">
        <v>277.52</v>
      </c>
      <c r="M11" s="3">
        <v>482.95</v>
      </c>
      <c r="N11" s="2">
        <f t="shared" si="3"/>
        <v>488.82000000000062</v>
      </c>
      <c r="O11" s="2">
        <f t="shared" si="1"/>
        <v>1249.2900000000006</v>
      </c>
      <c r="P11" s="16">
        <f>SUM(K11-O11)+H11</f>
        <v>3494.5899999999992</v>
      </c>
      <c r="Q11" s="22"/>
      <c r="R11" s="46">
        <v>3494.59</v>
      </c>
      <c r="S11" s="1"/>
    </row>
    <row r="12" spans="1:19" x14ac:dyDescent="0.25">
      <c r="A12" s="38">
        <v>6</v>
      </c>
      <c r="B12" s="47" t="s">
        <v>2</v>
      </c>
      <c r="C12" s="14">
        <f>160.09+448.25+1440.82</f>
        <v>2049.16</v>
      </c>
      <c r="D12" s="24"/>
      <c r="E12" s="24"/>
      <c r="F12" s="24">
        <f>4098.32+1366.11</f>
        <v>5464.4299999999994</v>
      </c>
      <c r="G12" s="24">
        <f>2049.16+683.05</f>
        <v>2732.21</v>
      </c>
      <c r="H12" s="24"/>
      <c r="I12" s="27"/>
      <c r="J12" s="27"/>
      <c r="K12" s="12">
        <f t="shared" si="0"/>
        <v>10245.799999999999</v>
      </c>
      <c r="L12" s="3">
        <v>446.17</v>
      </c>
      <c r="M12" s="3">
        <f>286.88+583.83</f>
        <v>870.71</v>
      </c>
      <c r="N12" s="2">
        <f t="shared" si="3"/>
        <v>8578.1399999999976</v>
      </c>
      <c r="O12" s="2">
        <f t="shared" si="1"/>
        <v>9895.0199999999968</v>
      </c>
      <c r="P12" s="16">
        <f t="shared" si="2"/>
        <v>350.78000000000247</v>
      </c>
      <c r="Q12" s="22"/>
      <c r="R12" s="46">
        <v>350.78</v>
      </c>
    </row>
    <row r="13" spans="1:19" x14ac:dyDescent="0.25">
      <c r="A13" s="38">
        <v>7</v>
      </c>
      <c r="B13" s="47" t="s">
        <v>70</v>
      </c>
      <c r="C13" s="14">
        <f>6316.15+233.59</f>
        <v>6549.74</v>
      </c>
      <c r="D13" s="24">
        <f>1263.23+206.8</f>
        <v>1470.03</v>
      </c>
      <c r="E13" s="24"/>
      <c r="F13" s="24"/>
      <c r="G13" s="24"/>
      <c r="H13" s="24"/>
      <c r="I13" s="27"/>
      <c r="J13" s="27"/>
      <c r="K13" s="12">
        <f t="shared" si="0"/>
        <v>8019.7699999999995</v>
      </c>
      <c r="L13" s="3">
        <v>1059.5</v>
      </c>
      <c r="M13" s="3">
        <v>908.85</v>
      </c>
      <c r="N13" s="2">
        <f t="shared" si="3"/>
        <v>8.3499999999994543</v>
      </c>
      <c r="O13" s="2">
        <f t="shared" si="1"/>
        <v>1976.6999999999994</v>
      </c>
      <c r="P13" s="16">
        <f t="shared" si="2"/>
        <v>6043.07</v>
      </c>
      <c r="Q13" s="22"/>
      <c r="R13" s="46">
        <v>6043.07</v>
      </c>
    </row>
    <row r="14" spans="1:19" x14ac:dyDescent="0.25">
      <c r="A14" s="38">
        <v>8</v>
      </c>
      <c r="B14" s="47" t="s">
        <v>3</v>
      </c>
      <c r="C14" s="14">
        <f>16557.45+8692.66</f>
        <v>25250.11</v>
      </c>
      <c r="D14" s="24">
        <f>1655.75+6622.98</f>
        <v>8278.73</v>
      </c>
      <c r="E14" s="24"/>
      <c r="F14" s="24"/>
      <c r="G14" s="24"/>
      <c r="H14" s="24"/>
      <c r="I14" s="27"/>
      <c r="J14" s="27"/>
      <c r="K14" s="12">
        <f t="shared" si="0"/>
        <v>33528.839999999997</v>
      </c>
      <c r="L14" s="3">
        <v>8074.5</v>
      </c>
      <c r="M14" s="3">
        <v>908.85</v>
      </c>
      <c r="N14" s="2">
        <f>K14-L14-M14-R14</f>
        <v>403.17999999999665</v>
      </c>
      <c r="O14" s="2">
        <f t="shared" si="1"/>
        <v>9386.529999999997</v>
      </c>
      <c r="P14" s="16">
        <f t="shared" si="2"/>
        <v>24142.309999999998</v>
      </c>
      <c r="Q14" s="22"/>
      <c r="R14" s="46">
        <v>24142.31</v>
      </c>
    </row>
    <row r="15" spans="1:19" x14ac:dyDescent="0.25">
      <c r="A15" s="38">
        <v>9</v>
      </c>
      <c r="B15" s="47" t="s">
        <v>4</v>
      </c>
      <c r="C15" s="14">
        <f>16393.51+5737.73</f>
        <v>22131.239999999998</v>
      </c>
      <c r="D15" s="24">
        <v>6557.4</v>
      </c>
      <c r="E15" s="24"/>
      <c r="F15" s="42"/>
      <c r="G15" s="24"/>
      <c r="H15" s="24"/>
      <c r="I15" s="27"/>
      <c r="J15" s="27"/>
      <c r="K15" s="12">
        <f t="shared" ref="K15:K30" si="8">SUM(C15:I15)</f>
        <v>28688.639999999999</v>
      </c>
      <c r="L15" s="3">
        <v>6743.44</v>
      </c>
      <c r="M15" s="3">
        <v>908.85</v>
      </c>
      <c r="N15" s="2">
        <f t="shared" ref="N15:N42" si="9">K15-L15-M15-R15</f>
        <v>67.590000000003783</v>
      </c>
      <c r="O15" s="2">
        <f t="shared" si="1"/>
        <v>7719.8800000000037</v>
      </c>
      <c r="P15" s="16">
        <f t="shared" si="2"/>
        <v>20968.759999999995</v>
      </c>
      <c r="Q15" s="22"/>
      <c r="R15" s="46">
        <v>20968.759999999998</v>
      </c>
    </row>
    <row r="16" spans="1:19" x14ac:dyDescent="0.25">
      <c r="A16" s="38">
        <v>10</v>
      </c>
      <c r="B16" s="47" t="s">
        <v>5</v>
      </c>
      <c r="C16" s="14">
        <f>3493.08+529.49</f>
        <v>4022.5699999999997</v>
      </c>
      <c r="D16" s="24">
        <v>1320.51</v>
      </c>
      <c r="E16" s="24"/>
      <c r="F16" s="24">
        <f>1068.62+356.21</f>
        <v>1424.83</v>
      </c>
      <c r="G16" s="24"/>
      <c r="H16" s="24"/>
      <c r="I16" s="27"/>
      <c r="J16" s="27"/>
      <c r="K16" s="12">
        <f t="shared" si="8"/>
        <v>6767.91</v>
      </c>
      <c r="L16" s="3">
        <v>392.05</v>
      </c>
      <c r="M16" s="3">
        <f>659.27+107.05</f>
        <v>766.31999999999994</v>
      </c>
      <c r="N16" s="2">
        <f t="shared" si="9"/>
        <v>1382.0299999999997</v>
      </c>
      <c r="O16" s="2">
        <f t="shared" si="1"/>
        <v>2540.3999999999996</v>
      </c>
      <c r="P16" s="16">
        <f t="shared" si="2"/>
        <v>4227.51</v>
      </c>
      <c r="Q16" s="22"/>
      <c r="R16" s="46">
        <v>4227.51</v>
      </c>
    </row>
    <row r="17" spans="1:18" x14ac:dyDescent="0.25">
      <c r="A17" s="38">
        <v>11</v>
      </c>
      <c r="B17" s="47" t="s">
        <v>6</v>
      </c>
      <c r="C17" s="14">
        <v>4320.5600000000004</v>
      </c>
      <c r="D17" s="24"/>
      <c r="E17" s="24"/>
      <c r="F17" s="24"/>
      <c r="G17" s="24"/>
      <c r="H17" s="24"/>
      <c r="I17" s="27"/>
      <c r="J17" s="27"/>
      <c r="K17" s="12">
        <f t="shared" si="8"/>
        <v>4320.5600000000004</v>
      </c>
      <c r="L17" s="3">
        <v>182.28</v>
      </c>
      <c r="M17" s="3">
        <v>423.69</v>
      </c>
      <c r="N17" s="2">
        <f t="shared" si="9"/>
        <v>438.40000000000055</v>
      </c>
      <c r="O17" s="2">
        <f t="shared" si="1"/>
        <v>1044.3700000000006</v>
      </c>
      <c r="P17" s="16">
        <f t="shared" si="2"/>
        <v>3276.1899999999996</v>
      </c>
      <c r="Q17" s="22"/>
      <c r="R17" s="46">
        <v>3276.19</v>
      </c>
    </row>
    <row r="18" spans="1:18" x14ac:dyDescent="0.25">
      <c r="A18" s="38">
        <v>12</v>
      </c>
      <c r="B18" s="47" t="s">
        <v>7</v>
      </c>
      <c r="C18" s="14">
        <f>7630.6+2005.96</f>
        <v>9636.5600000000013</v>
      </c>
      <c r="D18" s="24">
        <v>4169.18</v>
      </c>
      <c r="E18" s="24"/>
      <c r="F18" s="24"/>
      <c r="G18" s="24"/>
      <c r="H18" s="24"/>
      <c r="I18" s="27"/>
      <c r="J18" s="27"/>
      <c r="K18" s="12">
        <f t="shared" si="8"/>
        <v>13805.740000000002</v>
      </c>
      <c r="L18" s="3">
        <v>2494.23</v>
      </c>
      <c r="M18" s="3">
        <v>908.85</v>
      </c>
      <c r="N18" s="2">
        <f t="shared" si="9"/>
        <v>685.41000000000167</v>
      </c>
      <c r="O18" s="2">
        <f t="shared" si="1"/>
        <v>4088.4900000000016</v>
      </c>
      <c r="P18" s="16">
        <f t="shared" si="2"/>
        <v>9717.25</v>
      </c>
      <c r="Q18" s="22"/>
      <c r="R18" s="46">
        <v>9717.25</v>
      </c>
    </row>
    <row r="19" spans="1:18" x14ac:dyDescent="0.25">
      <c r="A19" s="38">
        <v>13</v>
      </c>
      <c r="B19" s="47" t="s">
        <v>79</v>
      </c>
      <c r="C19" s="14">
        <v>3204.15</v>
      </c>
      <c r="D19" s="24"/>
      <c r="E19" s="24"/>
      <c r="F19" s="24"/>
      <c r="G19" s="24"/>
      <c r="H19" s="24"/>
      <c r="I19" s="27"/>
      <c r="J19" s="27"/>
      <c r="K19" s="12">
        <f t="shared" ref="K19" si="10">SUM(C19:I19)</f>
        <v>3204.15</v>
      </c>
      <c r="L19" s="3">
        <v>28.51</v>
      </c>
      <c r="M19" s="3">
        <v>283.31</v>
      </c>
      <c r="N19" s="2">
        <f t="shared" ref="N19" si="11">K19-L19-M19-R19</f>
        <v>8.3499999999999091</v>
      </c>
      <c r="O19" s="2">
        <f t="shared" ref="O19" si="12">SUM(L19:N19)</f>
        <v>320.1699999999999</v>
      </c>
      <c r="P19" s="16">
        <f t="shared" ref="P19" si="13">SUM(K19-O19)</f>
        <v>2883.98</v>
      </c>
      <c r="Q19" s="22"/>
      <c r="R19" s="46">
        <v>2883.98</v>
      </c>
    </row>
    <row r="20" spans="1:18" x14ac:dyDescent="0.25">
      <c r="A20" s="38">
        <v>14</v>
      </c>
      <c r="B20" s="47" t="s">
        <v>8</v>
      </c>
      <c r="C20" s="14">
        <f>3988.25+478.59</f>
        <v>4466.84</v>
      </c>
      <c r="D20" s="24"/>
      <c r="E20" s="24"/>
      <c r="F20" s="24"/>
      <c r="G20" s="24"/>
      <c r="H20" s="24"/>
      <c r="I20" s="27"/>
      <c r="J20" s="27"/>
      <c r="K20" s="12">
        <f t="shared" si="8"/>
        <v>4466.84</v>
      </c>
      <c r="L20" s="3">
        <v>215.19</v>
      </c>
      <c r="M20" s="3">
        <v>444.17</v>
      </c>
      <c r="N20" s="2">
        <f t="shared" si="9"/>
        <v>8.3500000000003638</v>
      </c>
      <c r="O20" s="2">
        <f t="shared" si="1"/>
        <v>667.71000000000038</v>
      </c>
      <c r="P20" s="16">
        <f t="shared" si="2"/>
        <v>3799.1299999999997</v>
      </c>
      <c r="Q20" s="22"/>
      <c r="R20" s="46">
        <v>3799.13</v>
      </c>
    </row>
    <row r="21" spans="1:18" x14ac:dyDescent="0.25">
      <c r="A21" s="38">
        <v>15</v>
      </c>
      <c r="B21" s="47" t="s">
        <v>83</v>
      </c>
      <c r="C21" s="14">
        <v>4281.63</v>
      </c>
      <c r="D21" s="24"/>
      <c r="E21" s="24"/>
      <c r="F21" s="24"/>
      <c r="G21" s="24"/>
      <c r="H21" s="24"/>
      <c r="I21" s="27"/>
      <c r="J21" s="27"/>
      <c r="K21" s="12">
        <f t="shared" si="8"/>
        <v>4281.63</v>
      </c>
      <c r="L21" s="3">
        <v>176.08</v>
      </c>
      <c r="M21" s="3">
        <v>418.24</v>
      </c>
      <c r="N21" s="2">
        <f t="shared" ref="N21" si="14">K21-L21-M21-R21</f>
        <v>43.290000000000418</v>
      </c>
      <c r="O21" s="2">
        <f t="shared" ref="O21" si="15">SUM(L21:N21)</f>
        <v>637.61000000000047</v>
      </c>
      <c r="P21" s="16">
        <f t="shared" ref="P21" si="16">SUM(K21-O21)</f>
        <v>3644.0199999999995</v>
      </c>
      <c r="Q21" s="22"/>
      <c r="R21" s="46">
        <v>3644.02</v>
      </c>
    </row>
    <row r="22" spans="1:18" x14ac:dyDescent="0.25">
      <c r="A22" s="38">
        <v>16</v>
      </c>
      <c r="B22" s="47" t="s">
        <v>9</v>
      </c>
      <c r="C22" s="14">
        <f>18289.72+12034.64</f>
        <v>30324.36</v>
      </c>
      <c r="D22" s="24">
        <v>24691.119999999999</v>
      </c>
      <c r="E22" s="24"/>
      <c r="F22" s="24"/>
      <c r="G22" s="24"/>
      <c r="H22" s="24"/>
      <c r="I22" s="27"/>
      <c r="J22" s="27"/>
      <c r="K22" s="12">
        <f t="shared" si="8"/>
        <v>55015.479999999996</v>
      </c>
      <c r="L22" s="3">
        <v>10956.51</v>
      </c>
      <c r="M22" s="3">
        <v>908.85</v>
      </c>
      <c r="N22" s="2">
        <f t="shared" si="9"/>
        <v>11508.639999999996</v>
      </c>
      <c r="O22" s="2">
        <f t="shared" si="1"/>
        <v>23373.999999999996</v>
      </c>
      <c r="P22" s="16">
        <f t="shared" si="2"/>
        <v>31641.48</v>
      </c>
      <c r="Q22" s="22"/>
      <c r="R22" s="46">
        <v>31641.48</v>
      </c>
    </row>
    <row r="23" spans="1:18" x14ac:dyDescent="0.25">
      <c r="A23" s="38">
        <v>17</v>
      </c>
      <c r="B23" s="47" t="s">
        <v>10</v>
      </c>
      <c r="C23" s="14">
        <f>16557.45+5960.68</f>
        <v>22518.13</v>
      </c>
      <c r="D23" s="24">
        <v>3311.49</v>
      </c>
      <c r="E23" s="24"/>
      <c r="F23" s="24"/>
      <c r="G23" s="24"/>
      <c r="H23" s="24"/>
      <c r="I23" s="27"/>
      <c r="J23" s="27"/>
      <c r="K23" s="12">
        <f t="shared" si="8"/>
        <v>25829.620000000003</v>
      </c>
      <c r="L23" s="3">
        <v>5905.07</v>
      </c>
      <c r="M23" s="3">
        <v>908.85</v>
      </c>
      <c r="N23" s="2">
        <f t="shared" si="9"/>
        <v>1451.6100000000042</v>
      </c>
      <c r="O23" s="2">
        <f t="shared" si="1"/>
        <v>8265.5300000000043</v>
      </c>
      <c r="P23" s="16">
        <f t="shared" si="2"/>
        <v>17564.089999999997</v>
      </c>
      <c r="Q23" s="22"/>
      <c r="R23" s="46">
        <v>17564.09</v>
      </c>
    </row>
    <row r="24" spans="1:18" x14ac:dyDescent="0.25">
      <c r="A24" s="38">
        <v>18</v>
      </c>
      <c r="B24" s="47" t="s">
        <v>11</v>
      </c>
      <c r="C24" s="14">
        <f>4142.98+2015.11+3366.17</f>
        <v>9524.2599999999984</v>
      </c>
      <c r="D24" s="24">
        <v>241.27</v>
      </c>
      <c r="E24" s="24"/>
      <c r="F24" s="24">
        <f>326.26+108.75</f>
        <v>435.01</v>
      </c>
      <c r="G24" s="24">
        <f>217.51+72.5</f>
        <v>290.01</v>
      </c>
      <c r="H24" s="24"/>
      <c r="I24" s="27"/>
      <c r="J24" s="27"/>
      <c r="K24" s="12">
        <f t="shared" si="8"/>
        <v>10490.55</v>
      </c>
      <c r="L24" s="3">
        <f>1448.74+592.76</f>
        <v>2041.5</v>
      </c>
      <c r="M24" s="3">
        <f>860.03+48.82</f>
        <v>908.85</v>
      </c>
      <c r="N24" s="2">
        <f t="shared" si="9"/>
        <v>2214.4699999999993</v>
      </c>
      <c r="O24" s="2">
        <f t="shared" si="1"/>
        <v>5164.82</v>
      </c>
      <c r="P24" s="16">
        <f t="shared" si="2"/>
        <v>5325.73</v>
      </c>
      <c r="Q24" s="22"/>
      <c r="R24" s="46">
        <v>5325.73</v>
      </c>
    </row>
    <row r="25" spans="1:18" x14ac:dyDescent="0.25">
      <c r="A25" s="38">
        <v>19</v>
      </c>
      <c r="B25" s="47" t="s">
        <v>73</v>
      </c>
      <c r="C25" s="14">
        <f>16393.51+5901.66</f>
        <v>22295.17</v>
      </c>
      <c r="D25" s="24">
        <v>3278.7</v>
      </c>
      <c r="E25" s="24"/>
      <c r="F25" s="24"/>
      <c r="G25" s="24"/>
      <c r="H25" s="24"/>
      <c r="I25" s="27"/>
      <c r="J25" s="27"/>
      <c r="K25" s="12">
        <f t="shared" si="8"/>
        <v>25573.87</v>
      </c>
      <c r="L25" s="3">
        <v>5834.74</v>
      </c>
      <c r="M25" s="3">
        <v>908.85</v>
      </c>
      <c r="N25" s="2">
        <f t="shared" si="9"/>
        <v>6005.8299999999981</v>
      </c>
      <c r="O25" s="2">
        <f t="shared" si="1"/>
        <v>12749.419999999998</v>
      </c>
      <c r="P25" s="16">
        <f t="shared" si="2"/>
        <v>12824.45</v>
      </c>
      <c r="Q25" s="22"/>
      <c r="R25" s="46">
        <v>12824.45</v>
      </c>
    </row>
    <row r="26" spans="1:18" x14ac:dyDescent="0.25">
      <c r="A26" s="38">
        <v>20</v>
      </c>
      <c r="B26" s="47" t="s">
        <v>12</v>
      </c>
      <c r="C26" s="14">
        <f>6473.41+2200.96</f>
        <v>8674.369999999999</v>
      </c>
      <c r="D26" s="24"/>
      <c r="E26" s="24"/>
      <c r="F26" s="24">
        <f>1734.87+578.29</f>
        <v>2313.16</v>
      </c>
      <c r="G26" s="24">
        <f>3469.75+1156.58</f>
        <v>4626.33</v>
      </c>
      <c r="H26" s="24"/>
      <c r="I26" s="27"/>
      <c r="J26" s="27"/>
      <c r="K26" s="12">
        <f t="shared" si="8"/>
        <v>15613.859999999999</v>
      </c>
      <c r="L26" s="3">
        <v>1238.81</v>
      </c>
      <c r="M26" s="3">
        <f>125.76+783.09</f>
        <v>908.85</v>
      </c>
      <c r="N26" s="2">
        <f t="shared" si="9"/>
        <v>7189.9299999999985</v>
      </c>
      <c r="O26" s="2">
        <f t="shared" si="1"/>
        <v>9337.5899999999983</v>
      </c>
      <c r="P26" s="16">
        <f>SUM(K26-O26)+H26</f>
        <v>6276.27</v>
      </c>
      <c r="Q26" s="22"/>
      <c r="R26" s="46">
        <v>6276.27</v>
      </c>
    </row>
    <row r="27" spans="1:18" x14ac:dyDescent="0.25">
      <c r="A27" s="38">
        <v>21</v>
      </c>
      <c r="B27" s="47" t="s">
        <v>13</v>
      </c>
      <c r="C27" s="14">
        <v>11049.38</v>
      </c>
      <c r="D27" s="24"/>
      <c r="E27" s="24"/>
      <c r="F27" s="24"/>
      <c r="G27" s="24"/>
      <c r="H27" s="24"/>
      <c r="I27" s="27"/>
      <c r="J27" s="27"/>
      <c r="K27" s="12">
        <f t="shared" si="8"/>
        <v>11049.38</v>
      </c>
      <c r="L27" s="3">
        <v>1892.65</v>
      </c>
      <c r="M27" s="3">
        <v>908.85</v>
      </c>
      <c r="N27" s="2">
        <f t="shared" si="9"/>
        <v>8.3499999999985448</v>
      </c>
      <c r="O27" s="2">
        <f t="shared" si="1"/>
        <v>2809.8499999999985</v>
      </c>
      <c r="P27" s="16">
        <f t="shared" si="2"/>
        <v>8239.5300000000007</v>
      </c>
      <c r="Q27" s="22"/>
      <c r="R27" s="46">
        <v>8239.5300000000007</v>
      </c>
    </row>
    <row r="28" spans="1:18" x14ac:dyDescent="0.25">
      <c r="A28" s="38">
        <v>22</v>
      </c>
      <c r="B28" s="47" t="s">
        <v>14</v>
      </c>
      <c r="C28" s="14">
        <f>6808.75+2014.41</f>
        <v>8823.16</v>
      </c>
      <c r="D28" s="24">
        <v>1584.61</v>
      </c>
      <c r="E28" s="24"/>
      <c r="F28" s="24"/>
      <c r="G28" s="24"/>
      <c r="H28" s="27"/>
      <c r="I28" s="27"/>
      <c r="J28" s="27"/>
      <c r="K28" s="12">
        <f t="shared" si="8"/>
        <v>10407.77</v>
      </c>
      <c r="L28" s="3">
        <v>1611.93</v>
      </c>
      <c r="M28" s="3">
        <f>377.69+531.16</f>
        <v>908.84999999999991</v>
      </c>
      <c r="N28" s="2">
        <f t="shared" si="9"/>
        <v>851.17000000000007</v>
      </c>
      <c r="O28" s="2">
        <f t="shared" si="1"/>
        <v>3371.95</v>
      </c>
      <c r="P28" s="16">
        <f t="shared" si="2"/>
        <v>7035.8200000000006</v>
      </c>
      <c r="Q28" s="22"/>
      <c r="R28" s="46">
        <v>7035.82</v>
      </c>
    </row>
    <row r="29" spans="1:18" x14ac:dyDescent="0.25">
      <c r="A29" s="38">
        <v>23</v>
      </c>
      <c r="B29" s="47" t="s">
        <v>81</v>
      </c>
      <c r="C29" s="14">
        <f>2140.82+21.41</f>
        <v>2162.23</v>
      </c>
      <c r="D29" s="24"/>
      <c r="E29" s="24"/>
      <c r="F29" s="24">
        <f>2162.23+720.74</f>
        <v>2882.9700000000003</v>
      </c>
      <c r="G29" s="24">
        <f>1441.48+480.49</f>
        <v>1921.97</v>
      </c>
      <c r="H29" s="24"/>
      <c r="I29" s="27"/>
      <c r="J29" s="27"/>
      <c r="K29" s="12">
        <f t="shared" ref="K29" si="17">SUM(C29:I29)</f>
        <v>6967.170000000001</v>
      </c>
      <c r="L29" s="3"/>
      <c r="M29" s="3">
        <f>280.37+244.77</f>
        <v>525.14</v>
      </c>
      <c r="N29" s="2">
        <f t="shared" ref="N29" si="18">K29-L29-M29-R29</f>
        <v>4603.4600000000009</v>
      </c>
      <c r="O29" s="2">
        <f t="shared" ref="O29" si="19">SUM(L29:N29)</f>
        <v>5128.6000000000013</v>
      </c>
      <c r="P29" s="16">
        <f t="shared" ref="P29" si="20">SUM(K29-O29)</f>
        <v>1838.5699999999997</v>
      </c>
      <c r="Q29" s="22"/>
      <c r="R29" s="46">
        <v>1838.57</v>
      </c>
    </row>
    <row r="30" spans="1:18" x14ac:dyDescent="0.25">
      <c r="A30" s="38">
        <v>24</v>
      </c>
      <c r="B30" s="47" t="s">
        <v>15</v>
      </c>
      <c r="C30" s="14">
        <f>7212.79+2524.48</f>
        <v>9737.27</v>
      </c>
      <c r="D30" s="24"/>
      <c r="E30" s="24"/>
      <c r="F30" s="24"/>
      <c r="G30" s="24"/>
      <c r="H30" s="24"/>
      <c r="I30" s="27"/>
      <c r="J30" s="27"/>
      <c r="K30" s="12">
        <f t="shared" si="8"/>
        <v>9737.27</v>
      </c>
      <c r="L30" s="3">
        <v>1531.82</v>
      </c>
      <c r="M30" s="3">
        <v>908.85</v>
      </c>
      <c r="N30" s="2">
        <f t="shared" si="9"/>
        <v>310.28000000000065</v>
      </c>
      <c r="O30" s="2">
        <f t="shared" si="1"/>
        <v>2750.9500000000007</v>
      </c>
      <c r="P30" s="16">
        <f t="shared" si="2"/>
        <v>6986.32</v>
      </c>
      <c r="Q30" s="22"/>
      <c r="R30" s="46">
        <v>6986.32</v>
      </c>
    </row>
    <row r="31" spans="1:18" x14ac:dyDescent="0.25">
      <c r="A31" s="38">
        <v>25</v>
      </c>
      <c r="B31" s="47" t="s">
        <v>56</v>
      </c>
      <c r="C31" s="14">
        <f>5676.93+340.62</f>
        <v>6017.55</v>
      </c>
      <c r="D31" s="24"/>
      <c r="E31" s="24"/>
      <c r="F31" s="24">
        <f>1203.51+401.17</f>
        <v>1604.68</v>
      </c>
      <c r="G31" s="24"/>
      <c r="H31" s="24"/>
      <c r="I31" s="27"/>
      <c r="J31" s="27"/>
      <c r="K31" s="12">
        <f>SUM(C31:I31)</f>
        <v>7622.2300000000005</v>
      </c>
      <c r="L31" s="3">
        <v>549.09</v>
      </c>
      <c r="M31" s="3">
        <f>762.68+123.24</f>
        <v>885.92</v>
      </c>
      <c r="N31" s="2">
        <f t="shared" ref="N31" si="21">K31-L31-M31-R31</f>
        <v>1524.7300000000005</v>
      </c>
      <c r="O31" s="2">
        <f t="shared" ref="O31" si="22">SUM(L31:N31)</f>
        <v>2959.7400000000007</v>
      </c>
      <c r="P31" s="16">
        <f>SUM(K31-O31)+H31</f>
        <v>4662.49</v>
      </c>
      <c r="Q31" s="22"/>
      <c r="R31" s="46">
        <v>4662.49</v>
      </c>
    </row>
    <row r="32" spans="1:18" x14ac:dyDescent="0.25">
      <c r="A32" s="38">
        <v>26</v>
      </c>
      <c r="B32" s="47" t="s">
        <v>16</v>
      </c>
      <c r="C32" s="14">
        <f>3290.6+789.74</f>
        <v>4080.34</v>
      </c>
      <c r="D32" s="24"/>
      <c r="E32" s="24"/>
      <c r="F32" s="24"/>
      <c r="G32" s="24"/>
      <c r="H32" s="24"/>
      <c r="I32" s="27"/>
      <c r="J32" s="27"/>
      <c r="K32" s="12">
        <f>SUM(C32:I32)</f>
        <v>4080.34</v>
      </c>
      <c r="L32" s="3">
        <v>145.88999999999999</v>
      </c>
      <c r="M32" s="3">
        <v>390.06</v>
      </c>
      <c r="N32" s="2">
        <f t="shared" si="9"/>
        <v>622.01000000000022</v>
      </c>
      <c r="O32" s="2">
        <f t="shared" si="1"/>
        <v>1157.9600000000003</v>
      </c>
      <c r="P32" s="16">
        <f>SUM(K32-O32)+H32</f>
        <v>2922.38</v>
      </c>
      <c r="Q32" s="22"/>
      <c r="R32" s="46">
        <v>2922.38</v>
      </c>
    </row>
    <row r="33" spans="1:18" x14ac:dyDescent="0.25">
      <c r="A33" s="38">
        <v>27</v>
      </c>
      <c r="B33" s="47" t="s">
        <v>84</v>
      </c>
      <c r="C33" s="14">
        <v>4281.63</v>
      </c>
      <c r="D33" s="24"/>
      <c r="E33" s="24"/>
      <c r="F33" s="24"/>
      <c r="G33" s="24"/>
      <c r="H33" s="24"/>
      <c r="I33" s="27"/>
      <c r="J33" s="27"/>
      <c r="K33" s="12">
        <f>SUM(C33:I33)</f>
        <v>4281.63</v>
      </c>
      <c r="L33" s="3">
        <v>176.08</v>
      </c>
      <c r="M33" s="3">
        <v>418.24</v>
      </c>
      <c r="N33" s="2">
        <f t="shared" ref="N33:N34" si="23">K33-L33-M33-R33</f>
        <v>43.290000000000418</v>
      </c>
      <c r="O33" s="2">
        <f t="shared" ref="O33:O34" si="24">SUM(L33:N33)</f>
        <v>637.61000000000047</v>
      </c>
      <c r="P33" s="16">
        <f>SUM(K33-O33)+H33</f>
        <v>3644.0199999999995</v>
      </c>
      <c r="Q33" s="22"/>
      <c r="R33" s="46">
        <v>3644.02</v>
      </c>
    </row>
    <row r="34" spans="1:18" x14ac:dyDescent="0.25">
      <c r="A34" s="38">
        <v>28</v>
      </c>
      <c r="B34" s="47" t="s">
        <v>85</v>
      </c>
      <c r="C34" s="14">
        <v>4281.63</v>
      </c>
      <c r="D34" s="24"/>
      <c r="E34" s="24"/>
      <c r="F34" s="24"/>
      <c r="G34" s="24"/>
      <c r="H34" s="24"/>
      <c r="I34" s="27"/>
      <c r="J34" s="27"/>
      <c r="K34" s="12">
        <f>SUM(C34:I34)</f>
        <v>4281.63</v>
      </c>
      <c r="L34" s="3">
        <v>176.08</v>
      </c>
      <c r="M34" s="3">
        <v>418.24</v>
      </c>
      <c r="N34" s="2">
        <f t="shared" si="23"/>
        <v>43.290000000000418</v>
      </c>
      <c r="O34" s="2">
        <f t="shared" si="24"/>
        <v>637.61000000000047</v>
      </c>
      <c r="P34" s="16">
        <f>SUM(K34-O34)+H34</f>
        <v>3644.0199999999995</v>
      </c>
      <c r="Q34" s="22"/>
      <c r="R34" s="46">
        <v>3644.02</v>
      </c>
    </row>
    <row r="35" spans="1:18" x14ac:dyDescent="0.25">
      <c r="A35" s="38">
        <v>29</v>
      </c>
      <c r="B35" s="47" t="s">
        <v>17</v>
      </c>
      <c r="C35" s="14">
        <f>7861.82+1509.47</f>
        <v>9371.2899999999991</v>
      </c>
      <c r="D35" s="24">
        <v>1572.36</v>
      </c>
      <c r="E35" s="24"/>
      <c r="F35" s="24"/>
      <c r="G35" s="24"/>
      <c r="H35" s="24"/>
      <c r="I35" s="27"/>
      <c r="J35" s="27"/>
      <c r="K35" s="12">
        <f>SUM(C35:I35)</f>
        <v>10943.65</v>
      </c>
      <c r="L35" s="3">
        <v>1863.57</v>
      </c>
      <c r="M35" s="3">
        <f>719.7+189.15</f>
        <v>908.85</v>
      </c>
      <c r="N35" s="2">
        <f t="shared" si="9"/>
        <v>68.289999999999964</v>
      </c>
      <c r="O35" s="2">
        <f t="shared" si="1"/>
        <v>2840.71</v>
      </c>
      <c r="P35" s="16">
        <f t="shared" si="2"/>
        <v>8102.94</v>
      </c>
      <c r="Q35" s="22"/>
      <c r="R35" s="46">
        <v>8102.94</v>
      </c>
    </row>
    <row r="36" spans="1:18" x14ac:dyDescent="0.25">
      <c r="A36" s="38">
        <v>30</v>
      </c>
      <c r="B36" s="47" t="s">
        <v>18</v>
      </c>
      <c r="C36" s="14">
        <f>15300.61+5141.01</f>
        <v>20441.620000000003</v>
      </c>
      <c r="D36" s="24">
        <v>3060.12</v>
      </c>
      <c r="E36" s="24"/>
      <c r="F36" s="24">
        <f>1678.7+559.57</f>
        <v>2238.27</v>
      </c>
      <c r="G36" s="24">
        <f>1119.13+373.04</f>
        <v>1492.17</v>
      </c>
      <c r="H36" s="24"/>
      <c r="I36" s="27"/>
      <c r="J36" s="27"/>
      <c r="K36" s="12">
        <f t="shared" ref="K36:K42" si="25">SUM(C36:I36)</f>
        <v>27232.18</v>
      </c>
      <c r="L36" s="3">
        <v>5350.37</v>
      </c>
      <c r="M36" s="3">
        <v>908.85</v>
      </c>
      <c r="N36" s="2">
        <f t="shared" si="9"/>
        <v>3854.9100000000035</v>
      </c>
      <c r="O36" s="2">
        <f t="shared" si="1"/>
        <v>10114.130000000005</v>
      </c>
      <c r="P36" s="16">
        <f t="shared" si="2"/>
        <v>17118.049999999996</v>
      </c>
      <c r="Q36" s="22"/>
      <c r="R36" s="46">
        <v>17118.05</v>
      </c>
    </row>
    <row r="37" spans="1:18" x14ac:dyDescent="0.25">
      <c r="A37" s="38">
        <v>31</v>
      </c>
      <c r="B37" s="47" t="s">
        <v>75</v>
      </c>
      <c r="C37" s="14">
        <f>5891.2+70.69</f>
        <v>5961.8899999999994</v>
      </c>
      <c r="D37" s="24">
        <v>1178.24</v>
      </c>
      <c r="E37" s="24"/>
      <c r="F37" s="24"/>
      <c r="G37" s="24"/>
      <c r="H37" s="24"/>
      <c r="I37" s="27"/>
      <c r="J37" s="27"/>
      <c r="K37" s="12">
        <f t="shared" si="25"/>
        <v>7140.1299999999992</v>
      </c>
      <c r="L37" s="3">
        <v>842.47</v>
      </c>
      <c r="M37" s="3">
        <v>818.43</v>
      </c>
      <c r="N37" s="2">
        <f t="shared" ref="N37" si="26">K37-L37-M37-R37</f>
        <v>8.3499999999985448</v>
      </c>
      <c r="O37" s="2">
        <f t="shared" ref="O37" si="27">SUM(L37:N37)</f>
        <v>1669.2499999999986</v>
      </c>
      <c r="P37" s="16">
        <f t="shared" ref="P37" si="28">SUM(K37-O37)</f>
        <v>5470.880000000001</v>
      </c>
      <c r="Q37" s="22"/>
      <c r="R37" s="46">
        <v>5470.88</v>
      </c>
    </row>
    <row r="38" spans="1:18" x14ac:dyDescent="0.25">
      <c r="A38" s="38">
        <v>32</v>
      </c>
      <c r="B38" s="47" t="s">
        <v>57</v>
      </c>
      <c r="C38" s="14">
        <f>7332.86+1231.92</f>
        <v>8564.7799999999988</v>
      </c>
      <c r="D38" s="24">
        <v>1466.57</v>
      </c>
      <c r="E38" s="24"/>
      <c r="F38" s="24"/>
      <c r="G38" s="24"/>
      <c r="H38" s="24"/>
      <c r="I38" s="27"/>
      <c r="J38" s="27"/>
      <c r="K38" s="12">
        <f t="shared" si="25"/>
        <v>10031.349999999999</v>
      </c>
      <c r="L38" s="3">
        <v>1612.69</v>
      </c>
      <c r="M38" s="3">
        <f>334.84+574.01</f>
        <v>908.84999999999991</v>
      </c>
      <c r="N38" s="2">
        <f t="shared" si="9"/>
        <v>1750.659999999998</v>
      </c>
      <c r="O38" s="2">
        <f t="shared" si="1"/>
        <v>4272.199999999998</v>
      </c>
      <c r="P38" s="16">
        <f t="shared" si="2"/>
        <v>5759.1500000000005</v>
      </c>
      <c r="Q38" s="22"/>
      <c r="R38" s="46">
        <v>5759.15</v>
      </c>
    </row>
    <row r="39" spans="1:18" x14ac:dyDescent="0.25">
      <c r="A39" s="38">
        <v>33</v>
      </c>
      <c r="B39" s="47" t="s">
        <v>19</v>
      </c>
      <c r="C39" s="14">
        <f>7046.73+928.33</f>
        <v>7975.0599999999995</v>
      </c>
      <c r="D39" s="24">
        <f>1409.35+827.2</f>
        <v>2236.5500000000002</v>
      </c>
      <c r="E39" s="24"/>
      <c r="F39" s="24"/>
      <c r="G39" s="24"/>
      <c r="H39" s="24"/>
      <c r="I39" s="27"/>
      <c r="J39" s="27"/>
      <c r="K39" s="12">
        <f t="shared" si="25"/>
        <v>10211.61</v>
      </c>
      <c r="L39" s="3">
        <v>1557.98</v>
      </c>
      <c r="M39" s="3">
        <v>908.85</v>
      </c>
      <c r="N39" s="2">
        <f t="shared" si="9"/>
        <v>2934.7500000000009</v>
      </c>
      <c r="O39" s="2">
        <f t="shared" si="1"/>
        <v>5401.5800000000008</v>
      </c>
      <c r="P39" s="16">
        <f>SUM(K39-O39)+H39</f>
        <v>4810.03</v>
      </c>
      <c r="Q39" s="22"/>
      <c r="R39" s="46">
        <v>4810.03</v>
      </c>
    </row>
    <row r="40" spans="1:18" x14ac:dyDescent="0.25">
      <c r="A40" s="38">
        <v>34</v>
      </c>
      <c r="B40" s="47" t="s">
        <v>54</v>
      </c>
      <c r="C40" s="14">
        <f>1259.6+75.58</f>
        <v>1335.1799999999998</v>
      </c>
      <c r="D40" s="24"/>
      <c r="E40" s="24"/>
      <c r="F40" s="24">
        <f>2306.22+768.74</f>
        <v>3074.96</v>
      </c>
      <c r="G40" s="24"/>
      <c r="H40" s="24"/>
      <c r="I40" s="27"/>
      <c r="J40" s="27"/>
      <c r="K40" s="12">
        <f t="shared" si="25"/>
        <v>4410.1399999999994</v>
      </c>
      <c r="L40" s="3">
        <v>18.82</v>
      </c>
      <c r="M40" s="3">
        <f>168.42+267.81</f>
        <v>436.23</v>
      </c>
      <c r="N40" s="2">
        <f t="shared" ref="N40" si="29">K40-L40-M40-R40</f>
        <v>2848.7999999999997</v>
      </c>
      <c r="O40" s="2">
        <f t="shared" ref="O40" si="30">SUM(L40:N40)</f>
        <v>3303.85</v>
      </c>
      <c r="P40" s="16">
        <f t="shared" ref="P40" si="31">SUM(K40-O40)</f>
        <v>1106.2899999999995</v>
      </c>
      <c r="Q40" s="22"/>
      <c r="R40" s="46">
        <v>1106.29</v>
      </c>
    </row>
    <row r="41" spans="1:18" x14ac:dyDescent="0.25">
      <c r="A41" s="38">
        <v>35</v>
      </c>
      <c r="B41" s="47" t="s">
        <v>20</v>
      </c>
      <c r="C41" s="14">
        <f>4584.39+765.21</f>
        <v>5349.6</v>
      </c>
      <c r="D41" s="24">
        <v>517</v>
      </c>
      <c r="E41" s="24"/>
      <c r="F41" s="24"/>
      <c r="G41" s="24"/>
      <c r="H41" s="24"/>
      <c r="I41" s="27"/>
      <c r="J41" s="27"/>
      <c r="K41" s="12">
        <f t="shared" si="25"/>
        <v>5866.6</v>
      </c>
      <c r="L41" s="3">
        <v>541.28</v>
      </c>
      <c r="M41" s="3">
        <v>640.13</v>
      </c>
      <c r="N41" s="2">
        <f t="shared" si="9"/>
        <v>576.77000000000044</v>
      </c>
      <c r="O41" s="2">
        <f t="shared" si="1"/>
        <v>1758.1800000000003</v>
      </c>
      <c r="P41" s="16">
        <f t="shared" si="2"/>
        <v>4108.42</v>
      </c>
      <c r="Q41" s="22"/>
      <c r="R41" s="46">
        <v>4108.42</v>
      </c>
    </row>
    <row r="42" spans="1:18" x14ac:dyDescent="0.25">
      <c r="A42" s="38">
        <v>36</v>
      </c>
      <c r="B42" s="47" t="s">
        <v>21</v>
      </c>
      <c r="C42" s="14">
        <f>16723.02+5819.61</f>
        <v>22542.63</v>
      </c>
      <c r="D42" s="24">
        <v>3344.6</v>
      </c>
      <c r="E42" s="24"/>
      <c r="F42" s="24"/>
      <c r="G42" s="24"/>
      <c r="H42" s="24"/>
      <c r="I42" s="27"/>
      <c r="J42" s="27"/>
      <c r="K42" s="12">
        <f t="shared" si="25"/>
        <v>25887.23</v>
      </c>
      <c r="L42" s="3">
        <v>5868.78</v>
      </c>
      <c r="M42" s="3">
        <v>908.85</v>
      </c>
      <c r="N42" s="2">
        <f t="shared" si="9"/>
        <v>92.350000000002183</v>
      </c>
      <c r="O42" s="2">
        <f t="shared" si="1"/>
        <v>6869.9800000000023</v>
      </c>
      <c r="P42" s="16">
        <f t="shared" si="2"/>
        <v>19017.249999999996</v>
      </c>
      <c r="Q42" s="22"/>
      <c r="R42" s="46">
        <v>19017.25</v>
      </c>
    </row>
    <row r="43" spans="1:18" x14ac:dyDescent="0.25">
      <c r="A43" s="38">
        <v>37</v>
      </c>
      <c r="B43" s="48" t="s">
        <v>22</v>
      </c>
      <c r="C43" s="29">
        <v>3986.9</v>
      </c>
      <c r="D43" s="25"/>
      <c r="E43" s="25"/>
      <c r="F43" s="25"/>
      <c r="G43" s="24"/>
      <c r="H43" s="24"/>
      <c r="I43" s="27"/>
      <c r="J43" s="27"/>
      <c r="K43" s="30">
        <f t="shared" ref="K43:K52" si="32">SUM(C43:I43)</f>
        <v>3986.9</v>
      </c>
      <c r="L43" s="31">
        <v>131.88</v>
      </c>
      <c r="M43" s="31">
        <v>377.24</v>
      </c>
      <c r="N43" s="32">
        <f t="shared" ref="N43:N64" si="33">K43-L43-M43-R43</f>
        <v>306.55999999999995</v>
      </c>
      <c r="O43" s="32">
        <f t="shared" si="1"/>
        <v>815.68</v>
      </c>
      <c r="P43" s="33">
        <f t="shared" si="2"/>
        <v>3171.2200000000003</v>
      </c>
      <c r="Q43" s="22"/>
      <c r="R43" s="46">
        <v>3171.22</v>
      </c>
    </row>
    <row r="44" spans="1:18" x14ac:dyDescent="0.25">
      <c r="A44" s="38">
        <v>38</v>
      </c>
      <c r="B44" s="48" t="s">
        <v>76</v>
      </c>
      <c r="C44" s="29">
        <f>4455.48+44.55</f>
        <v>4500.03</v>
      </c>
      <c r="D44" s="25"/>
      <c r="E44" s="25"/>
      <c r="F44" s="25"/>
      <c r="G44" s="24"/>
      <c r="H44" s="24"/>
      <c r="I44" s="27"/>
      <c r="J44" s="27"/>
      <c r="K44" s="30">
        <f t="shared" ref="K44" si="34">SUM(C44:I44)</f>
        <v>4500.03</v>
      </c>
      <c r="L44" s="31">
        <v>206.09</v>
      </c>
      <c r="M44" s="31">
        <v>448.82</v>
      </c>
      <c r="N44" s="32">
        <f t="shared" ref="N44" si="35">K44-L44-M44-R44</f>
        <v>209.72999999999956</v>
      </c>
      <c r="O44" s="32">
        <f t="shared" ref="O44" si="36">SUM(L44:N44)</f>
        <v>864.63999999999953</v>
      </c>
      <c r="P44" s="33">
        <f t="shared" ref="P44" si="37">SUM(K44-O44)</f>
        <v>3635.3900000000003</v>
      </c>
      <c r="Q44" s="22"/>
      <c r="R44" s="46">
        <v>3635.39</v>
      </c>
    </row>
    <row r="45" spans="1:18" x14ac:dyDescent="0.25">
      <c r="A45" s="38">
        <v>39</v>
      </c>
      <c r="B45" s="47" t="s">
        <v>23</v>
      </c>
      <c r="C45" s="14">
        <f>5538.43+1643.11</f>
        <v>7181.54</v>
      </c>
      <c r="D45" s="24">
        <v>1034</v>
      </c>
      <c r="E45" s="24"/>
      <c r="F45" s="24"/>
      <c r="G45" s="24"/>
      <c r="H45" s="24"/>
      <c r="I45" s="27"/>
      <c r="J45" s="27"/>
      <c r="K45" s="12">
        <f t="shared" si="32"/>
        <v>8215.5400000000009</v>
      </c>
      <c r="L45" s="3">
        <v>1113.3399999999999</v>
      </c>
      <c r="M45" s="3">
        <f>880.01+28.84</f>
        <v>908.85</v>
      </c>
      <c r="N45" s="2">
        <f t="shared" si="33"/>
        <v>873.18000000000029</v>
      </c>
      <c r="O45" s="2">
        <f t="shared" si="1"/>
        <v>2895.3700000000003</v>
      </c>
      <c r="P45" s="16">
        <f t="shared" si="2"/>
        <v>5320.17</v>
      </c>
      <c r="Q45" s="22"/>
      <c r="R45" s="46">
        <v>5320.17</v>
      </c>
    </row>
    <row r="46" spans="1:18" x14ac:dyDescent="0.25">
      <c r="A46" s="38">
        <v>40</v>
      </c>
      <c r="B46" s="47" t="s">
        <v>24</v>
      </c>
      <c r="C46" s="14">
        <f>11206.77+1905.15</f>
        <v>13111.92</v>
      </c>
      <c r="D46" s="24"/>
      <c r="E46" s="24"/>
      <c r="F46" s="24"/>
      <c r="G46" s="24"/>
      <c r="H46" s="24"/>
      <c r="I46" s="27">
        <v>4830.45</v>
      </c>
      <c r="J46" s="27"/>
      <c r="K46" s="12">
        <f t="shared" si="32"/>
        <v>17942.37</v>
      </c>
      <c r="L46" s="3">
        <v>3736.08</v>
      </c>
      <c r="M46" s="3">
        <v>908.85</v>
      </c>
      <c r="N46" s="2">
        <f t="shared" si="33"/>
        <v>845.01999999999862</v>
      </c>
      <c r="O46" s="2">
        <f t="shared" si="1"/>
        <v>5489.9499999999989</v>
      </c>
      <c r="P46" s="16">
        <f t="shared" si="2"/>
        <v>12452.42</v>
      </c>
      <c r="Q46" s="22"/>
      <c r="R46" s="46">
        <v>12452.42</v>
      </c>
    </row>
    <row r="47" spans="1:18" x14ac:dyDescent="0.25">
      <c r="A47" s="38">
        <v>41</v>
      </c>
      <c r="B47" s="47" t="s">
        <v>25</v>
      </c>
      <c r="C47" s="14">
        <f>7979.45+4259.75</f>
        <v>12239.2</v>
      </c>
      <c r="D47" s="24">
        <v>7233.96</v>
      </c>
      <c r="E47" s="24"/>
      <c r="F47" s="24"/>
      <c r="G47" s="24"/>
      <c r="H47" s="24"/>
      <c r="I47" s="27"/>
      <c r="J47" s="27"/>
      <c r="K47" s="12">
        <f t="shared" si="32"/>
        <v>19473.16</v>
      </c>
      <c r="L47" s="3">
        <v>4209.1899999999996</v>
      </c>
      <c r="M47" s="3">
        <v>908.85</v>
      </c>
      <c r="N47" s="2">
        <f>K47-L47-M47-R47</f>
        <v>1125.4600000000009</v>
      </c>
      <c r="O47" s="2">
        <f>SUM(L47:N47)</f>
        <v>6243.5000000000009</v>
      </c>
      <c r="P47" s="16">
        <f t="shared" si="2"/>
        <v>13229.66</v>
      </c>
      <c r="Q47" s="22"/>
      <c r="R47" s="46">
        <v>13229.66</v>
      </c>
    </row>
    <row r="48" spans="1:18" x14ac:dyDescent="0.25">
      <c r="A48" s="38">
        <v>42</v>
      </c>
      <c r="B48" s="47" t="s">
        <v>26</v>
      </c>
      <c r="C48" s="14">
        <f>7706.91+1572.21</f>
        <v>9279.119999999999</v>
      </c>
      <c r="D48" s="24">
        <v>1541.38</v>
      </c>
      <c r="E48" s="24"/>
      <c r="F48" s="24"/>
      <c r="G48" s="24"/>
      <c r="H48" s="24"/>
      <c r="I48" s="27"/>
      <c r="J48" s="27"/>
      <c r="K48" s="12">
        <f t="shared" si="32"/>
        <v>10820.5</v>
      </c>
      <c r="L48" s="3">
        <v>1725.43</v>
      </c>
      <c r="M48" s="3">
        <v>908.85</v>
      </c>
      <c r="N48" s="2">
        <f t="shared" si="33"/>
        <v>577.21999999999935</v>
      </c>
      <c r="O48" s="2">
        <f t="shared" si="1"/>
        <v>3211.4999999999995</v>
      </c>
      <c r="P48" s="16">
        <f t="shared" si="2"/>
        <v>7609</v>
      </c>
      <c r="Q48" s="22"/>
      <c r="R48" s="46">
        <v>7609</v>
      </c>
    </row>
    <row r="49" spans="1:18" x14ac:dyDescent="0.25">
      <c r="A49" s="38">
        <v>43</v>
      </c>
      <c r="B49" s="47" t="s">
        <v>82</v>
      </c>
      <c r="C49" s="14">
        <v>3204.15</v>
      </c>
      <c r="D49" s="24"/>
      <c r="E49" s="24"/>
      <c r="F49" s="24"/>
      <c r="G49" s="24"/>
      <c r="H49" s="24"/>
      <c r="I49" s="27"/>
      <c r="J49" s="27"/>
      <c r="K49" s="12">
        <f t="shared" si="32"/>
        <v>3204.15</v>
      </c>
      <c r="L49" s="3">
        <v>28.51</v>
      </c>
      <c r="M49" s="3">
        <v>283.31</v>
      </c>
      <c r="N49" s="2">
        <f t="shared" ref="N49" si="38">K49-L49-M49-R49</f>
        <v>39.549999999999727</v>
      </c>
      <c r="O49" s="2">
        <f t="shared" ref="O49" si="39">SUM(L49:N49)</f>
        <v>351.36999999999972</v>
      </c>
      <c r="P49" s="16">
        <f t="shared" ref="P49" si="40">SUM(K49-O49)</f>
        <v>2852.78</v>
      </c>
      <c r="Q49" s="22"/>
      <c r="R49" s="46">
        <v>2852.78</v>
      </c>
    </row>
    <row r="50" spans="1:18" x14ac:dyDescent="0.25">
      <c r="A50" s="38">
        <v>44</v>
      </c>
      <c r="B50" s="47" t="s">
        <v>27</v>
      </c>
      <c r="C50" s="14">
        <v>10686.59</v>
      </c>
      <c r="D50" s="24"/>
      <c r="E50" s="24"/>
      <c r="F50" s="24"/>
      <c r="G50" s="24"/>
      <c r="H50" s="24"/>
      <c r="I50" s="27"/>
      <c r="J50" s="27"/>
      <c r="K50" s="12">
        <f t="shared" si="32"/>
        <v>10686.59</v>
      </c>
      <c r="L50" s="3">
        <v>1740.74</v>
      </c>
      <c r="M50" s="3">
        <v>908.85</v>
      </c>
      <c r="N50" s="2">
        <f t="shared" si="33"/>
        <v>1442.2299999999996</v>
      </c>
      <c r="O50" s="2">
        <f t="shared" si="1"/>
        <v>4091.8199999999997</v>
      </c>
      <c r="P50" s="16">
        <f>SUM(K50-O50)+H50</f>
        <v>6594.77</v>
      </c>
      <c r="Q50" s="22"/>
      <c r="R50" s="46">
        <v>6594.77</v>
      </c>
    </row>
    <row r="51" spans="1:18" x14ac:dyDescent="0.25">
      <c r="A51" s="38">
        <v>45</v>
      </c>
      <c r="B51" s="47" t="s">
        <v>28</v>
      </c>
      <c r="C51" s="14">
        <f>7480.25+1256.68</f>
        <v>8736.93</v>
      </c>
      <c r="D51" s="24">
        <v>1496.05</v>
      </c>
      <c r="E51" s="24"/>
      <c r="F51" s="24"/>
      <c r="G51" s="24"/>
      <c r="H51" s="24"/>
      <c r="I51" s="27"/>
      <c r="J51" s="27"/>
      <c r="K51" s="12">
        <f t="shared" si="32"/>
        <v>10232.98</v>
      </c>
      <c r="L51" s="3">
        <v>1668.14</v>
      </c>
      <c r="M51" s="3">
        <f>134.96+773.89</f>
        <v>908.85</v>
      </c>
      <c r="N51" s="2">
        <f t="shared" si="33"/>
        <v>1012.8899999999994</v>
      </c>
      <c r="O51" s="2">
        <f t="shared" si="1"/>
        <v>3589.8799999999997</v>
      </c>
      <c r="P51" s="16">
        <f>SUM(K51-O51)+H51</f>
        <v>6643.1</v>
      </c>
      <c r="Q51" s="22"/>
      <c r="R51" s="46">
        <v>6643.1</v>
      </c>
    </row>
    <row r="52" spans="1:18" x14ac:dyDescent="0.25">
      <c r="A52" s="38">
        <v>46</v>
      </c>
      <c r="B52" s="47" t="s">
        <v>29</v>
      </c>
      <c r="C52" s="14">
        <f>5746.03+861.9</f>
        <v>6607.9299999999994</v>
      </c>
      <c r="D52" s="24"/>
      <c r="E52" s="24"/>
      <c r="F52" s="24"/>
      <c r="G52" s="24"/>
      <c r="H52" s="24"/>
      <c r="I52" s="27"/>
      <c r="J52" s="27"/>
      <c r="K52" s="12">
        <f t="shared" si="32"/>
        <v>6607.9299999999994</v>
      </c>
      <c r="L52" s="3">
        <v>664.47</v>
      </c>
      <c r="M52" s="3">
        <v>743.92</v>
      </c>
      <c r="N52" s="2">
        <f t="shared" si="33"/>
        <v>1197.389999999999</v>
      </c>
      <c r="O52" s="2">
        <f t="shared" si="1"/>
        <v>2605.7799999999988</v>
      </c>
      <c r="P52" s="16">
        <f t="shared" si="2"/>
        <v>4002.1500000000005</v>
      </c>
      <c r="Q52" s="22"/>
      <c r="R52" s="46">
        <v>4002.15</v>
      </c>
    </row>
    <row r="53" spans="1:18" x14ac:dyDescent="0.25">
      <c r="A53" s="38">
        <v>47</v>
      </c>
      <c r="B53" s="47" t="s">
        <v>30</v>
      </c>
      <c r="C53" s="14">
        <f>7406.19+1658.99</f>
        <v>9065.18</v>
      </c>
      <c r="D53" s="24">
        <v>2962.48</v>
      </c>
      <c r="E53" s="24"/>
      <c r="F53" s="24"/>
      <c r="G53" s="24"/>
      <c r="H53" s="24"/>
      <c r="I53" s="27"/>
      <c r="J53" s="27"/>
      <c r="K53" s="12">
        <f t="shared" ref="K53:K61" si="41">SUM(C53:I53)</f>
        <v>12027.66</v>
      </c>
      <c r="L53" s="3">
        <v>2109.54</v>
      </c>
      <c r="M53" s="3">
        <v>908.85</v>
      </c>
      <c r="N53" s="2">
        <f t="shared" si="33"/>
        <v>268.72999999999774</v>
      </c>
      <c r="O53" s="2">
        <f t="shared" si="1"/>
        <v>3287.1199999999976</v>
      </c>
      <c r="P53" s="16">
        <f t="shared" si="2"/>
        <v>8740.5400000000027</v>
      </c>
      <c r="Q53" s="22"/>
      <c r="R53" s="46">
        <v>8740.5400000000009</v>
      </c>
    </row>
    <row r="54" spans="1:18" x14ac:dyDescent="0.25">
      <c r="A54" s="38">
        <v>48</v>
      </c>
      <c r="B54" s="47" t="s">
        <v>31</v>
      </c>
      <c r="C54" s="14">
        <f>7678.02+1018.89</f>
        <v>8696.91</v>
      </c>
      <c r="D54" s="24">
        <v>1584.61</v>
      </c>
      <c r="E54" s="24"/>
      <c r="F54" s="24"/>
      <c r="G54" s="24"/>
      <c r="H54" s="24"/>
      <c r="I54" s="27"/>
      <c r="J54" s="27"/>
      <c r="K54" s="12">
        <f t="shared" si="41"/>
        <v>10281.52</v>
      </c>
      <c r="L54" s="3">
        <v>1629.35</v>
      </c>
      <c r="M54" s="3">
        <f>130.43+778.42</f>
        <v>908.84999999999991</v>
      </c>
      <c r="N54" s="2">
        <f t="shared" si="33"/>
        <v>1009.79</v>
      </c>
      <c r="O54" s="2">
        <f t="shared" si="1"/>
        <v>3547.99</v>
      </c>
      <c r="P54" s="16">
        <f t="shared" si="2"/>
        <v>6733.5300000000007</v>
      </c>
      <c r="Q54" s="22"/>
      <c r="R54" s="46">
        <v>6733.53</v>
      </c>
    </row>
    <row r="55" spans="1:18" x14ac:dyDescent="0.25">
      <c r="A55" s="38">
        <v>49</v>
      </c>
      <c r="B55" s="47" t="s">
        <v>53</v>
      </c>
      <c r="C55" s="14">
        <v>3675.75</v>
      </c>
      <c r="D55" s="24"/>
      <c r="E55" s="24"/>
      <c r="F55" s="24"/>
      <c r="G55" s="24"/>
      <c r="H55" s="24"/>
      <c r="I55" s="27"/>
      <c r="J55" s="27"/>
      <c r="K55" s="12">
        <f t="shared" si="41"/>
        <v>3675.75</v>
      </c>
      <c r="L55" s="3">
        <v>85.2</v>
      </c>
      <c r="M55" s="3">
        <v>339.9</v>
      </c>
      <c r="N55" s="2">
        <f t="shared" ref="N55" si="42">K55-L55-M55-R55</f>
        <v>8.3499999999999091</v>
      </c>
      <c r="O55" s="2">
        <f t="shared" ref="O55" si="43">SUM(L55:N55)</f>
        <v>433.44999999999987</v>
      </c>
      <c r="P55" s="16">
        <f t="shared" ref="P55" si="44">SUM(K55-O55)</f>
        <v>3242.3</v>
      </c>
      <c r="Q55" s="22"/>
      <c r="R55" s="46">
        <v>3242.3</v>
      </c>
    </row>
    <row r="56" spans="1:18" x14ac:dyDescent="0.25">
      <c r="A56" s="38">
        <v>50</v>
      </c>
      <c r="B56" s="47" t="s">
        <v>32</v>
      </c>
      <c r="C56" s="14">
        <f>16557.45+6446.29</f>
        <v>23003.74</v>
      </c>
      <c r="D56" s="24">
        <f>3311.49+275.73</f>
        <v>3587.22</v>
      </c>
      <c r="E56" s="24"/>
      <c r="F56" s="24"/>
      <c r="G56" s="24"/>
      <c r="H56" s="24"/>
      <c r="I56" s="27"/>
      <c r="J56" s="27"/>
      <c r="K56" s="12">
        <f t="shared" si="41"/>
        <v>26590.960000000003</v>
      </c>
      <c r="L56" s="3">
        <v>6166.58</v>
      </c>
      <c r="M56" s="3">
        <v>908.85</v>
      </c>
      <c r="N56" s="2">
        <f t="shared" si="33"/>
        <v>342.42000000000553</v>
      </c>
      <c r="O56" s="2">
        <f t="shared" si="1"/>
        <v>7417.8500000000058</v>
      </c>
      <c r="P56" s="16">
        <f>SUM(K56-O56)+H56</f>
        <v>19173.109999999997</v>
      </c>
      <c r="Q56" s="22"/>
      <c r="R56" s="46">
        <v>19173.11</v>
      </c>
    </row>
    <row r="57" spans="1:18" x14ac:dyDescent="0.25">
      <c r="A57" s="38">
        <v>51</v>
      </c>
      <c r="B57" s="47" t="s">
        <v>33</v>
      </c>
      <c r="C57" s="14">
        <f>3501.54+595.26</f>
        <v>4096.8</v>
      </c>
      <c r="D57" s="24"/>
      <c r="E57" s="24"/>
      <c r="F57" s="24"/>
      <c r="G57" s="24"/>
      <c r="H57" s="24"/>
      <c r="I57" s="27"/>
      <c r="J57" s="27"/>
      <c r="K57" s="12">
        <f t="shared" si="41"/>
        <v>4096.8</v>
      </c>
      <c r="L57" s="3">
        <v>148.36000000000001</v>
      </c>
      <c r="M57" s="3">
        <v>392.36</v>
      </c>
      <c r="N57" s="2">
        <f t="shared" si="33"/>
        <v>50.819999999999709</v>
      </c>
      <c r="O57" s="2">
        <f t="shared" si="1"/>
        <v>591.53999999999974</v>
      </c>
      <c r="P57" s="16">
        <f t="shared" si="2"/>
        <v>3505.26</v>
      </c>
      <c r="Q57" s="22"/>
      <c r="R57" s="46">
        <v>3505.26</v>
      </c>
    </row>
    <row r="58" spans="1:18" x14ac:dyDescent="0.25">
      <c r="A58" s="38">
        <v>52</v>
      </c>
      <c r="B58" s="47" t="s">
        <v>71</v>
      </c>
      <c r="C58" s="14">
        <f>4411.37+147.85</f>
        <v>4559.22</v>
      </c>
      <c r="D58" s="24">
        <v>517</v>
      </c>
      <c r="E58" s="24"/>
      <c r="F58" s="24"/>
      <c r="G58" s="24"/>
      <c r="H58" s="24"/>
      <c r="I58" s="27"/>
      <c r="J58" s="27"/>
      <c r="K58" s="12">
        <f t="shared" si="41"/>
        <v>5076.22</v>
      </c>
      <c r="L58" s="3">
        <v>352.3</v>
      </c>
      <c r="M58" s="3">
        <v>529.48</v>
      </c>
      <c r="N58" s="2">
        <f t="shared" ref="N58" si="45">K58-L58-M58-R58</f>
        <v>42.770000000000437</v>
      </c>
      <c r="O58" s="2">
        <f t="shared" ref="O58" si="46">SUM(L58:N58)</f>
        <v>924.55000000000041</v>
      </c>
      <c r="P58" s="16">
        <f t="shared" ref="P58" si="47">SUM(K58-O58)</f>
        <v>4151.67</v>
      </c>
      <c r="Q58" s="22"/>
      <c r="R58" s="46">
        <v>4151.67</v>
      </c>
    </row>
    <row r="59" spans="1:18" x14ac:dyDescent="0.25">
      <c r="A59" s="38">
        <v>53</v>
      </c>
      <c r="B59" s="47" t="s">
        <v>77</v>
      </c>
      <c r="C59" s="14">
        <f>4281.63+42.82</f>
        <v>4324.45</v>
      </c>
      <c r="D59" s="24"/>
      <c r="E59" s="24"/>
      <c r="F59" s="24"/>
      <c r="G59" s="24"/>
      <c r="H59" s="24"/>
      <c r="I59" s="27"/>
      <c r="J59" s="27"/>
      <c r="K59" s="12">
        <f t="shared" si="41"/>
        <v>4324.45</v>
      </c>
      <c r="L59" s="3">
        <v>183.15</v>
      </c>
      <c r="M59" s="3">
        <v>424.23</v>
      </c>
      <c r="N59" s="2">
        <f t="shared" ref="N59" si="48">K59-L59-M59-R59</f>
        <v>43.289999999999964</v>
      </c>
      <c r="O59" s="2">
        <f t="shared" ref="O59" si="49">SUM(L59:N59)</f>
        <v>650.66999999999996</v>
      </c>
      <c r="P59" s="16">
        <f t="shared" ref="P59" si="50">SUM(K59-O59)</f>
        <v>3673.7799999999997</v>
      </c>
      <c r="Q59" s="22"/>
      <c r="R59" s="46">
        <v>3673.78</v>
      </c>
    </row>
    <row r="60" spans="1:18" x14ac:dyDescent="0.25">
      <c r="A60" s="38">
        <v>54</v>
      </c>
      <c r="B60" s="47" t="s">
        <v>34</v>
      </c>
      <c r="C60" s="14">
        <f>14715.31+7210.5</f>
        <v>21925.809999999998</v>
      </c>
      <c r="D60" s="24">
        <v>5886.12</v>
      </c>
      <c r="E60" s="24"/>
      <c r="F60" s="24"/>
      <c r="G60" s="24"/>
      <c r="H60" s="24"/>
      <c r="I60" s="27"/>
      <c r="J60" s="27"/>
      <c r="K60" s="12">
        <f t="shared" si="41"/>
        <v>27811.929999999997</v>
      </c>
      <c r="L60" s="3">
        <v>6450.21</v>
      </c>
      <c r="M60" s="3">
        <v>908.85</v>
      </c>
      <c r="N60" s="2">
        <f t="shared" si="33"/>
        <v>1819.9500000000007</v>
      </c>
      <c r="O60" s="2">
        <f t="shared" si="1"/>
        <v>9179.010000000002</v>
      </c>
      <c r="P60" s="16">
        <f>SUM(K60-O60)+H60</f>
        <v>18632.919999999995</v>
      </c>
      <c r="Q60" s="22"/>
      <c r="R60" s="46">
        <v>18632.919999999998</v>
      </c>
    </row>
    <row r="61" spans="1:18" x14ac:dyDescent="0.25">
      <c r="A61" s="38">
        <v>55</v>
      </c>
      <c r="B61" s="47" t="s">
        <v>35</v>
      </c>
      <c r="C61" s="14">
        <v>8075.61</v>
      </c>
      <c r="D61" s="24"/>
      <c r="E61" s="24"/>
      <c r="F61" s="24"/>
      <c r="G61" s="24"/>
      <c r="H61" s="24"/>
      <c r="I61" s="27"/>
      <c r="J61" s="27"/>
      <c r="K61" s="12">
        <f t="shared" si="41"/>
        <v>8075.61</v>
      </c>
      <c r="L61" s="3">
        <v>1022.72</v>
      </c>
      <c r="M61" s="3">
        <v>908.85</v>
      </c>
      <c r="N61" s="2">
        <f t="shared" si="33"/>
        <v>2251.9299999999989</v>
      </c>
      <c r="O61" s="2">
        <f t="shared" si="1"/>
        <v>4183.4999999999991</v>
      </c>
      <c r="P61" s="16">
        <f t="shared" si="2"/>
        <v>3892.1100000000006</v>
      </c>
      <c r="Q61" s="22"/>
      <c r="R61" s="46">
        <v>3892.11</v>
      </c>
    </row>
    <row r="62" spans="1:18" x14ac:dyDescent="0.25">
      <c r="A62" s="38">
        <v>56</v>
      </c>
      <c r="B62" s="47" t="s">
        <v>58</v>
      </c>
      <c r="C62" s="14">
        <f>6443.11+322.16</f>
        <v>6765.2699999999995</v>
      </c>
      <c r="D62" s="24"/>
      <c r="E62" s="24"/>
      <c r="F62" s="24"/>
      <c r="G62" s="24"/>
      <c r="H62" s="24"/>
      <c r="I62" s="27"/>
      <c r="J62" s="27"/>
      <c r="K62" s="12">
        <f>SUM(C62:I62)</f>
        <v>6765.2699999999995</v>
      </c>
      <c r="L62" s="3">
        <v>753.81</v>
      </c>
      <c r="M62" s="3">
        <v>765.95</v>
      </c>
      <c r="N62" s="2">
        <f t="shared" ref="N62" si="51">K62-L62-M62-R62</f>
        <v>1130.7199999999993</v>
      </c>
      <c r="O62" s="2">
        <f t="shared" ref="O62" si="52">SUM(L62:N62)</f>
        <v>2650.4799999999996</v>
      </c>
      <c r="P62" s="16">
        <f t="shared" ref="P62" si="53">SUM(K62-O62)</f>
        <v>4114.79</v>
      </c>
      <c r="Q62" s="22"/>
      <c r="R62" s="46">
        <v>4114.79</v>
      </c>
    </row>
    <row r="63" spans="1:18" x14ac:dyDescent="0.25">
      <c r="A63" s="38">
        <v>57</v>
      </c>
      <c r="B63" s="49" t="s">
        <v>78</v>
      </c>
      <c r="C63" s="43">
        <f>4281.63+42.82</f>
        <v>4324.45</v>
      </c>
      <c r="D63" s="44"/>
      <c r="E63" s="44"/>
      <c r="F63" s="44"/>
      <c r="G63" s="24"/>
      <c r="H63" s="24"/>
      <c r="I63" s="27"/>
      <c r="J63" s="27"/>
      <c r="K63" s="12">
        <f>SUM(C63:I63)</f>
        <v>4324.45</v>
      </c>
      <c r="L63" s="45">
        <v>183.15</v>
      </c>
      <c r="M63" s="45">
        <v>424.23</v>
      </c>
      <c r="N63" s="2">
        <f t="shared" ref="N63" si="54">K63-L63-M63-R63</f>
        <v>307.49000000000024</v>
      </c>
      <c r="O63" s="2">
        <f t="shared" ref="O63" si="55">SUM(L63:N63)</f>
        <v>914.87000000000023</v>
      </c>
      <c r="P63" s="16">
        <f t="shared" ref="P63" si="56">SUM(K63-O63)</f>
        <v>3409.5799999999995</v>
      </c>
      <c r="Q63" s="22"/>
      <c r="R63" s="46">
        <v>3409.58</v>
      </c>
    </row>
    <row r="64" spans="1:18" ht="15.75" thickBot="1" x14ac:dyDescent="0.3">
      <c r="A64" s="38">
        <v>58</v>
      </c>
      <c r="B64" s="50" t="s">
        <v>36</v>
      </c>
      <c r="C64" s="15">
        <f>11432.03+2400.73</f>
        <v>13832.76</v>
      </c>
      <c r="D64" s="26">
        <v>4572.8100000000004</v>
      </c>
      <c r="E64" s="26"/>
      <c r="F64" s="26"/>
      <c r="G64" s="26"/>
      <c r="H64" s="26"/>
      <c r="I64" s="28">
        <v>4830.45</v>
      </c>
      <c r="J64" s="28"/>
      <c r="K64" s="13">
        <f>SUM(C64:J64)</f>
        <v>23236.02</v>
      </c>
      <c r="L64" s="10">
        <v>5191.83</v>
      </c>
      <c r="M64" s="10">
        <v>908.85</v>
      </c>
      <c r="N64" s="11">
        <f t="shared" si="33"/>
        <v>75.86000000000422</v>
      </c>
      <c r="O64" s="11">
        <f t="shared" si="1"/>
        <v>6176.5400000000045</v>
      </c>
      <c r="P64" s="17">
        <f t="shared" si="2"/>
        <v>17059.479999999996</v>
      </c>
      <c r="Q64" s="22"/>
      <c r="R64" s="46">
        <v>17059.48</v>
      </c>
    </row>
    <row r="65" spans="2:16" ht="15.75" thickBot="1" x14ac:dyDescent="0.3">
      <c r="B65" s="63"/>
      <c r="C65" s="63"/>
      <c r="D65" s="63"/>
      <c r="E65" s="63"/>
      <c r="F65" s="63"/>
      <c r="G65" s="63"/>
      <c r="H65" s="63"/>
      <c r="I65" s="63"/>
      <c r="J65" s="63"/>
      <c r="K65" s="63"/>
      <c r="L65" s="63"/>
      <c r="M65" s="63"/>
      <c r="N65" s="63"/>
      <c r="O65" s="63"/>
      <c r="P65" s="63"/>
    </row>
    <row r="66" spans="2:16" x14ac:dyDescent="0.25">
      <c r="B66" s="60" t="s">
        <v>86</v>
      </c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2"/>
    </row>
    <row r="67" spans="2:16" ht="5.25" customHeight="1" x14ac:dyDescent="0.25">
      <c r="B67" s="54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6"/>
    </row>
    <row r="68" spans="2:16" x14ac:dyDescent="0.25">
      <c r="B68" s="57" t="s">
        <v>67</v>
      </c>
      <c r="C68" s="58"/>
      <c r="D68" s="58"/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  <c r="P68" s="59"/>
    </row>
    <row r="69" spans="2:16" x14ac:dyDescent="0.25">
      <c r="B69" s="54" t="s">
        <v>64</v>
      </c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6"/>
    </row>
    <row r="70" spans="2:16" x14ac:dyDescent="0.25">
      <c r="B70" s="54" t="s">
        <v>65</v>
      </c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6"/>
    </row>
    <row r="71" spans="2:16" x14ac:dyDescent="0.25">
      <c r="B71" s="54" t="s">
        <v>66</v>
      </c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6"/>
    </row>
    <row r="72" spans="2:16" ht="15.75" thickBot="1" x14ac:dyDescent="0.3">
      <c r="B72" s="51" t="s">
        <v>80</v>
      </c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3"/>
    </row>
    <row r="73" spans="2:16" x14ac:dyDescent="0.25">
      <c r="B73" s="23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</row>
    <row r="74" spans="2:16" x14ac:dyDescent="0.25">
      <c r="B74" s="6"/>
      <c r="C74" s="5"/>
      <c r="D74" s="5"/>
      <c r="E74" s="5"/>
      <c r="F74" s="5"/>
      <c r="G74" s="5"/>
      <c r="H74" s="5"/>
      <c r="I74" s="5"/>
      <c r="J74" s="5"/>
      <c r="K74" s="39"/>
      <c r="L74" s="5"/>
      <c r="M74" s="5"/>
      <c r="N74" s="5"/>
      <c r="O74" s="39"/>
      <c r="P74" s="5"/>
    </row>
    <row r="75" spans="2:16" x14ac:dyDescent="0.25">
      <c r="B75" s="4"/>
      <c r="C75" s="4"/>
      <c r="D75" s="4"/>
      <c r="E75" s="4"/>
      <c r="F75" s="4"/>
      <c r="G75" s="4"/>
      <c r="H75" s="4"/>
      <c r="I75" s="4"/>
      <c r="J75" s="4"/>
      <c r="K75" s="41"/>
      <c r="L75" s="41"/>
      <c r="M75" s="41"/>
      <c r="N75" s="41"/>
      <c r="O75" s="41"/>
      <c r="P75" s="41"/>
    </row>
    <row r="76" spans="2:16" x14ac:dyDescent="0.25">
      <c r="K76" s="1"/>
      <c r="O76" s="1"/>
      <c r="P76" s="1"/>
    </row>
    <row r="78" spans="2:16" x14ac:dyDescent="0.25">
      <c r="K78" s="1"/>
      <c r="O78" s="1"/>
    </row>
    <row r="79" spans="2:16" x14ac:dyDescent="0.25">
      <c r="K79" s="1"/>
      <c r="L79" s="1"/>
      <c r="M79" s="1"/>
      <c r="N79" s="1"/>
      <c r="P79" s="1"/>
    </row>
  </sheetData>
  <mergeCells count="18">
    <mergeCell ref="B66:P66"/>
    <mergeCell ref="B65:P65"/>
    <mergeCell ref="B1:P1"/>
    <mergeCell ref="B2:P2"/>
    <mergeCell ref="B3:P3"/>
    <mergeCell ref="B5:B6"/>
    <mergeCell ref="C5:C6"/>
    <mergeCell ref="L5:L6"/>
    <mergeCell ref="M5:M6"/>
    <mergeCell ref="E5:E6"/>
    <mergeCell ref="D5:D6"/>
    <mergeCell ref="F5:F6"/>
    <mergeCell ref="B72:P72"/>
    <mergeCell ref="B67:P67"/>
    <mergeCell ref="B68:P68"/>
    <mergeCell ref="B69:P69"/>
    <mergeCell ref="B71:P71"/>
    <mergeCell ref="B70:P70"/>
  </mergeCells>
  <pageMargins left="0.23622047244094491" right="3.937007874015748E-2" top="0.19685039370078741" bottom="0" header="0.31496062992125984" footer="0.31496062992125984"/>
  <pageSetup paperSize="9" scale="5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mes</vt:lpstr>
      <vt:lpstr>mes!Area_de_impressao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Aurelio</dc:creator>
  <cp:lastModifiedBy>Marco Aurelio Zelaskos de Carvalho</cp:lastModifiedBy>
  <cp:lastPrinted>2024-10-31T19:04:13Z</cp:lastPrinted>
  <dcterms:created xsi:type="dcterms:W3CDTF">2016-04-28T12:49:34Z</dcterms:created>
  <dcterms:modified xsi:type="dcterms:W3CDTF">2024-10-31T19:04:15Z</dcterms:modified>
</cp:coreProperties>
</file>