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08-AGOSTO\"/>
    </mc:Choice>
  </mc:AlternateContent>
  <xr:revisionPtr revIDLastSave="0" documentId="13_ncr:1_{73F66A46-CBF0-4E40-A8D4-9D40091C9DB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4" i="6" l="1"/>
  <c r="D58" i="6"/>
  <c r="M55" i="6"/>
  <c r="G55" i="6"/>
  <c r="F55" i="6"/>
  <c r="C55" i="6"/>
  <c r="C54" i="6"/>
  <c r="C53" i="6"/>
  <c r="L51" i="6"/>
  <c r="F51" i="6"/>
  <c r="C51" i="6"/>
  <c r="L50" i="6"/>
  <c r="F50" i="6"/>
  <c r="C50" i="6"/>
  <c r="C48" i="6"/>
  <c r="C46" i="6"/>
  <c r="F45" i="6"/>
  <c r="C45" i="6"/>
  <c r="C42" i="6"/>
  <c r="C41" i="6"/>
  <c r="D41" i="6"/>
  <c r="D38" i="6"/>
  <c r="C38" i="6"/>
  <c r="C35" i="6"/>
  <c r="M29" i="6"/>
  <c r="C29" i="6"/>
  <c r="F29" i="6"/>
  <c r="L26" i="6"/>
  <c r="G26" i="6"/>
  <c r="F26" i="6"/>
  <c r="C26" i="6"/>
  <c r="M21" i="6"/>
  <c r="F21" i="6"/>
  <c r="C21" i="6"/>
  <c r="C18" i="6"/>
  <c r="L13" i="6"/>
  <c r="F13" i="6"/>
  <c r="D13" i="6"/>
  <c r="C13" i="6"/>
  <c r="M8" i="6"/>
  <c r="L8" i="6"/>
  <c r="G8" i="6"/>
  <c r="F8" i="6"/>
  <c r="D8" i="6"/>
  <c r="C8" i="6"/>
  <c r="C7" i="6"/>
  <c r="F7" i="6"/>
  <c r="C60" i="6"/>
  <c r="C58" i="6"/>
  <c r="C56" i="6"/>
  <c r="M54" i="6"/>
  <c r="M53" i="6"/>
  <c r="M48" i="6"/>
  <c r="C47" i="6"/>
  <c r="M46" i="6"/>
  <c r="M45" i="6"/>
  <c r="M42" i="6"/>
  <c r="C37" i="6"/>
  <c r="C36" i="6"/>
  <c r="M35" i="6"/>
  <c r="C25" i="6"/>
  <c r="C23" i="6"/>
  <c r="C22" i="6"/>
  <c r="C16" i="6"/>
  <c r="C15" i="6"/>
  <c r="D14" i="6"/>
  <c r="C14" i="6"/>
  <c r="C9" i="6"/>
  <c r="M7" i="6"/>
  <c r="K39" i="6"/>
  <c r="N39" i="6" l="1"/>
  <c r="O39" i="6" s="1"/>
  <c r="P39" i="6" s="1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3" i="6"/>
  <c r="N63" i="6" s="1"/>
  <c r="O63" i="6" s="1"/>
  <c r="P63" i="6" s="1"/>
  <c r="K59" i="6"/>
  <c r="N59" i="6" s="1"/>
  <c r="O59" i="6" s="1"/>
  <c r="K49" i="6"/>
  <c r="N49" i="6" s="1"/>
  <c r="O49" i="6" s="1"/>
  <c r="P49" i="6" s="1"/>
  <c r="K44" i="6"/>
  <c r="N44" i="6" s="1"/>
  <c r="O44" i="6" s="1"/>
  <c r="P44" i="6" s="1"/>
  <c r="K10" i="6"/>
  <c r="N28" i="6" l="1"/>
  <c r="O28" i="6" s="1"/>
  <c r="P28" i="6" s="1"/>
  <c r="O19" i="6"/>
  <c r="P19" i="6" s="1"/>
  <c r="P59" i="6"/>
  <c r="N10" i="6"/>
  <c r="O10" i="6" s="1"/>
  <c r="P10" i="6" s="1"/>
  <c r="K58" i="6"/>
  <c r="K64" i="6" l="1"/>
  <c r="K46" i="6"/>
  <c r="N58" i="6"/>
  <c r="O58" i="6" s="1"/>
  <c r="P58" i="6" s="1"/>
  <c r="K13" i="6"/>
  <c r="K9" i="6"/>
  <c r="N9" i="6" s="1"/>
  <c r="O9" i="6" s="1"/>
  <c r="P9" i="6" s="1"/>
  <c r="N13" i="6" l="1"/>
  <c r="O13" i="6" s="1"/>
  <c r="P13" i="6" s="1"/>
  <c r="K56" i="6" l="1"/>
  <c r="K48" i="6"/>
  <c r="K47" i="6"/>
  <c r="K45" i="6"/>
  <c r="K36" i="6"/>
  <c r="K50" i="6"/>
  <c r="K52" i="6"/>
  <c r="K53" i="6"/>
  <c r="K54" i="6"/>
  <c r="K55" i="6"/>
  <c r="K57" i="6"/>
  <c r="K60" i="6"/>
  <c r="K61" i="6"/>
  <c r="K62" i="6"/>
  <c r="K43" i="6"/>
  <c r="K42" i="6"/>
  <c r="K30" i="6"/>
  <c r="K31" i="6"/>
  <c r="K32" i="6"/>
  <c r="K35" i="6"/>
  <c r="K37" i="6"/>
  <c r="K38" i="6"/>
  <c r="K40" i="6"/>
  <c r="K41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1" i="6" l="1"/>
  <c r="K14" i="6"/>
  <c r="N62" i="6" l="1"/>
  <c r="O62" i="6" s="1"/>
  <c r="P62" i="6" s="1"/>
  <c r="N31" i="6" l="1"/>
  <c r="O31" i="6" s="1"/>
  <c r="P31" i="6" s="1"/>
  <c r="N8" i="6" l="1"/>
  <c r="O8" i="6" s="1"/>
  <c r="P8" i="6" s="1"/>
  <c r="N40" i="6" l="1"/>
  <c r="O40" i="6" s="1"/>
  <c r="P40" i="6" s="1"/>
  <c r="N55" i="6" l="1"/>
  <c r="O55" i="6" s="1"/>
  <c r="P55" i="6" s="1"/>
  <c r="N15" i="6" l="1"/>
  <c r="O15" i="6" s="1"/>
  <c r="P15" i="6" s="1"/>
  <c r="N12" i="6" l="1"/>
  <c r="O12" i="6" s="1"/>
  <c r="P12" i="6" s="1"/>
  <c r="N64" i="6"/>
  <c r="O64" i="6" s="1"/>
  <c r="P64" i="6" s="1"/>
  <c r="N57" i="6"/>
  <c r="O57" i="6" s="1"/>
  <c r="N54" i="6"/>
  <c r="O54" i="6" s="1"/>
  <c r="P54" i="6" s="1"/>
  <c r="N53" i="6"/>
  <c r="O53" i="6" s="1"/>
  <c r="P53" i="6" s="1"/>
  <c r="N52" i="6"/>
  <c r="O52" i="6" s="1"/>
  <c r="N48" i="6"/>
  <c r="O48" i="6" s="1"/>
  <c r="N47" i="6"/>
  <c r="O47" i="6" s="1"/>
  <c r="N46" i="6"/>
  <c r="O46" i="6" s="1"/>
  <c r="P46" i="6" s="1"/>
  <c r="N42" i="6"/>
  <c r="O42" i="6" s="1"/>
  <c r="P42" i="6" s="1"/>
  <c r="N37" i="6"/>
  <c r="O37" i="6" s="1"/>
  <c r="P37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5" i="6" l="1"/>
  <c r="O45" i="6" s="1"/>
  <c r="P45" i="6" s="1"/>
  <c r="N61" i="6"/>
  <c r="O61" i="6" s="1"/>
  <c r="P61" i="6" s="1"/>
  <c r="N16" i="6"/>
  <c r="O16" i="6" s="1"/>
  <c r="P16" i="6" s="1"/>
  <c r="N56" i="6"/>
  <c r="O56" i="6" s="1"/>
  <c r="P56" i="6" s="1"/>
  <c r="N50" i="6"/>
  <c r="N51" i="6"/>
  <c r="O51" i="6" s="1"/>
  <c r="P51" i="6" s="1"/>
  <c r="N60" i="6"/>
  <c r="O60" i="6" s="1"/>
  <c r="P60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3" i="6"/>
  <c r="O43" i="6" s="1"/>
  <c r="P43" i="6" s="1"/>
  <c r="N20" i="6"/>
  <c r="O20" i="6" s="1"/>
  <c r="P20" i="6" s="1"/>
  <c r="N17" i="6"/>
  <c r="O17" i="6" s="1"/>
  <c r="P17" i="6" s="1"/>
  <c r="N14" i="6"/>
  <c r="O14" i="6" s="1"/>
  <c r="P14" i="6" s="1"/>
  <c r="P48" i="6"/>
  <c r="P47" i="6"/>
  <c r="P52" i="6"/>
  <c r="N41" i="6"/>
  <c r="O41" i="6" s="1"/>
  <c r="P41" i="6" s="1"/>
  <c r="P57" i="6"/>
  <c r="O50" i="6" l="1"/>
  <c r="P50" i="6" l="1"/>
  <c r="N30" i="6"/>
  <c r="O30" i="6" s="1"/>
  <c r="P30" i="6" s="1"/>
</calcChain>
</file>

<file path=xl/sharedStrings.xml><?xml version="1.0" encoding="utf-8"?>
<sst xmlns="http://schemas.openxmlformats.org/spreadsheetml/2006/main" count="90" uniqueCount="88">
  <si>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</si>
  <si>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</si>
  <si>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</si>
  <si>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</si>
  <si>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</si>
  <si>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</si>
  <si>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</si>
  <si>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</si>
  <si>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</si>
  <si>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</si>
  <si>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</si>
  <si>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</si>
  <si>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</si>
  <si>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</si>
  <si>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</si>
  <si>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</si>
  <si>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</si>
  <si>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</si>
  <si>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</si>
  <si>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</si>
  <si>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</si>
  <si>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</si>
  <si>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</si>
  <si>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</si>
  <si>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</si>
  <si>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</si>
  <si>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</si>
  <si>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</si>
  <si>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</si>
  <si>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</si>
  <si>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</si>
  <si>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</si>
  <si>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</si>
  <si>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</si>
  <si>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</si>
  <si>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</si>
  <si>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</si>
  <si>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</si>
  <si>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</si>
  <si>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</si>
  <si>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</si>
  <si>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</si>
  <si>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</si>
  <si>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</si>
  <si>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</si>
  <si>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</si>
  <si>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</si>
  <si>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</si>
  <si>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</si>
  <si>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</si>
  <si>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</si>
  <si>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</si>
  <si>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</si>
  <si>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</si>
  <si>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</si>
  <si>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</si>
  <si>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</si>
  <si>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</si>
  <si>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</si>
  <si>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</si>
  <si>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</si>
  <si>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</si>
  <si>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</si>
  <si>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</si>
  <si>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</si>
  <si>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</si>
  <si>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</si>
  <si>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</si>
  <si>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</si>
  <si>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</si>
  <si>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</si>
  <si>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</si>
  <si>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</si>
  <si>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</si>
  <si>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</si>
  <si>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</si>
  <si>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</si>
  <si>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</si>
  <si>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</si>
  <si>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</si>
  <si>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</si>
  <si>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</si>
  <si>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R$ 800,00 por mês e o Vale refeição no valor diário de R$ 39,55, num  total de 22 vales por mês.</t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</si>
  <si>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qualificação, Fiscalização de contrato e pelo aperfeiçoamento.</t>
    </r>
  </si>
  <si>
    <t>MARCIA MENDES DE SOUZA</t>
  </si>
  <si>
    <t>Agosto/2025</t>
  </si>
  <si>
    <r>
      <t>JERUZA FERNANDES MOURA BURGES (</t>
    </r>
    <r>
      <rPr>
        <b/>
        <i/>
        <sz val="11"/>
        <color rgb="FFFF0000"/>
        <rFont val="Calibri"/>
        <family val="2"/>
        <scheme val="minor"/>
      </rPr>
      <t>contrato suspenso</t>
    </r>
    <r>
      <rPr>
        <i/>
        <sz val="11"/>
        <color theme="1"/>
        <rFont val="Calibri"/>
        <family val="2"/>
        <scheme val="minor"/>
      </rPr>
      <t>)</t>
    </r>
  </si>
  <si>
    <r>
      <t>JESSICA ROMANI (</t>
    </r>
    <r>
      <rPr>
        <b/>
        <i/>
        <sz val="11"/>
        <color rgb="FFFF0000"/>
        <rFont val="Calibri"/>
        <family val="2"/>
        <scheme val="minor"/>
      </rPr>
      <t>Rescisão de contrato</t>
    </r>
    <r>
      <rPr>
        <i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</si>
</sst>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5" sqref="R65"/>
    </sheetView>
  </sheetViews>
  <sheetFormatPr defaultRowHeight="15" outlineLevelCol="1" x14ac:dyDescent="0.25"/>
  <cols>
    <col min="1" max="1" width="3.7109375" customWidth="1"/>
    <col min="2" max="2" width="53.140625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46</v>
      </c>
      <c r="C5" s="59" t="s">
        <v>36</v>
      </c>
      <c r="D5" s="63" t="s">
        <v>58</v>
      </c>
      <c r="E5" s="59" t="s">
        <v>37</v>
      </c>
      <c r="F5" s="59" t="s">
        <v>59</v>
      </c>
      <c r="G5" s="34" t="s">
        <v>60</v>
      </c>
      <c r="H5" s="35" t="s">
        <v>62</v>
      </c>
      <c r="I5" s="18" t="s">
        <v>49</v>
      </c>
      <c r="J5" s="8" t="s">
        <v>66</v>
      </c>
      <c r="K5" s="18" t="s">
        <v>38</v>
      </c>
      <c r="L5" s="61" t="s">
        <v>40</v>
      </c>
      <c r="M5" s="59" t="s">
        <v>41</v>
      </c>
      <c r="N5" s="18" t="s">
        <v>42</v>
      </c>
      <c r="O5" s="8" t="s">
        <v>44</v>
      </c>
      <c r="P5" s="20" t="s">
        <v>38</v>
      </c>
    </row>
    <row r="6" spans="1:19" ht="15.75" thickBot="1" x14ac:dyDescent="0.3">
      <c r="B6" s="58"/>
      <c r="C6" s="60"/>
      <c r="D6" s="64"/>
      <c r="E6" s="60"/>
      <c r="F6" s="60"/>
      <c r="G6" s="36" t="s">
        <v>61</v>
      </c>
      <c r="H6" s="37" t="s">
        <v>51</v>
      </c>
      <c r="I6" s="19" t="s">
        <v>50</v>
      </c>
      <c r="J6" s="9" t="s">
        <v>67</v>
      </c>
      <c r="K6" s="19" t="s">
        <v>39</v>
      </c>
      <c r="L6" s="62"/>
      <c r="M6" s="60"/>
      <c r="N6" s="19" t="s">
        <v>43</v>
      </c>
      <c r="O6" s="9" t="s">
        <v>43</v>
      </c>
      <c r="P6" s="21" t="s">
        <v>45</v>
      </c>
    </row>
    <row r="7" spans="1:19" x14ac:dyDescent="0.25">
      <c r="A7" s="38">
        <v>1</v>
      </c>
      <c r="B7" s="47" t="s">
        <v>0</v>
      </c>
      <c r="C7" s="14">
        <f>7963.17+1118.6</f>
        <v>9081.77</v>
      </c>
      <c r="D7" s="24">
        <v>3222.85</v>
      </c>
      <c r="E7" s="24"/>
      <c r="F7" s="24">
        <f>412.51+137.5</f>
        <v>550.01</v>
      </c>
      <c r="G7" s="24"/>
      <c r="H7" s="24"/>
      <c r="I7" s="27"/>
      <c r="J7" s="27"/>
      <c r="K7" s="12">
        <f t="shared" ref="K7:K14" si="0">SUM(C7:I7)</f>
        <v>12854.630000000001</v>
      </c>
      <c r="L7" s="3">
        <v>2227.88</v>
      </c>
      <c r="M7" s="3">
        <f>52.87+898.75</f>
        <v>951.62</v>
      </c>
      <c r="N7" s="2">
        <f>K7-L7-M7-R7</f>
        <v>629.14999999999964</v>
      </c>
      <c r="O7" s="2">
        <f t="shared" ref="O7:O64" si="1">SUM(L7:N7)</f>
        <v>3808.6499999999996</v>
      </c>
      <c r="P7" s="16">
        <f t="shared" ref="P7:P64" si="2">SUM(K7-O7)</f>
        <v>9045.9800000000014</v>
      </c>
      <c r="Q7" s="22"/>
      <c r="R7" s="46">
        <v>9045.98</v>
      </c>
    </row>
    <row r="8" spans="1:19" x14ac:dyDescent="0.25">
      <c r="A8" s="38">
        <v>2</v>
      </c>
      <c r="B8" s="47" t="s">
        <v>54</v>
      </c>
      <c r="C8" s="14">
        <f>1899.13+249.63</f>
        <v>2148.7600000000002</v>
      </c>
      <c r="D8" s="24">
        <f>1666.99</f>
        <v>1666.99</v>
      </c>
      <c r="E8" s="24"/>
      <c r="F8" s="24">
        <f>3815.75+1271.92</f>
        <v>5087.67</v>
      </c>
      <c r="G8" s="24">
        <f>2543.83+847.94</f>
        <v>3391.77</v>
      </c>
      <c r="H8" s="24"/>
      <c r="I8" s="27"/>
      <c r="J8" s="27"/>
      <c r="K8" s="12">
        <f t="shared" si="0"/>
        <v>12295.19</v>
      </c>
      <c r="L8" s="3">
        <f>87.12+332.62</f>
        <v>419.74</v>
      </c>
      <c r="M8" s="3">
        <f>429.77+521.85</f>
        <v>951.62</v>
      </c>
      <c r="N8" s="2">
        <f t="shared" ref="N8:N13" si="3">K8-L8-M8-R8</f>
        <v>7808.9699999999993</v>
      </c>
      <c r="O8" s="2">
        <f t="shared" si="1"/>
        <v>9180.33</v>
      </c>
      <c r="P8" s="16">
        <f t="shared" si="2"/>
        <v>3114.8600000000006</v>
      </c>
      <c r="Q8" s="22"/>
      <c r="R8" s="46">
        <v>3114.86</v>
      </c>
    </row>
    <row r="9" spans="1:19" x14ac:dyDescent="0.25">
      <c r="A9" s="38">
        <v>3</v>
      </c>
      <c r="B9" s="47" t="s">
        <v>70</v>
      </c>
      <c r="C9" s="14">
        <f>6914.39+331.89</f>
        <v>7246.2800000000007</v>
      </c>
      <c r="D9" s="24">
        <v>1382.88</v>
      </c>
      <c r="E9" s="24"/>
      <c r="F9" s="22"/>
      <c r="G9" s="22"/>
      <c r="H9" s="24"/>
      <c r="I9" s="27"/>
      <c r="J9" s="27"/>
      <c r="K9" s="12">
        <f t="shared" ref="K9:K10" si="4">SUM(C9:I9)</f>
        <v>8629.16</v>
      </c>
      <c r="L9" s="3">
        <v>1202.5899999999999</v>
      </c>
      <c r="M9" s="3">
        <v>951.62</v>
      </c>
      <c r="N9" s="2">
        <f t="shared" ref="N9:N10" si="5">K9-L9-M9-R9</f>
        <v>968.17000000000007</v>
      </c>
      <c r="O9" s="2">
        <f t="shared" ref="O9:O10" si="6">SUM(L9:N9)</f>
        <v>3122.38</v>
      </c>
      <c r="P9" s="16">
        <f t="shared" ref="P9:P10" si="7">SUM(K9-O9)</f>
        <v>5506.78</v>
      </c>
      <c r="Q9" s="22"/>
      <c r="R9" s="46">
        <v>5506.78</v>
      </c>
    </row>
    <row r="10" spans="1:19" x14ac:dyDescent="0.25">
      <c r="A10" s="38">
        <v>4</v>
      </c>
      <c r="B10" s="47" t="s">
        <v>72</v>
      </c>
      <c r="C10" s="14">
        <v>4780.8999999999996</v>
      </c>
      <c r="D10" s="24"/>
      <c r="E10" s="24"/>
      <c r="F10" s="24"/>
      <c r="G10" s="24"/>
      <c r="H10" s="24"/>
      <c r="I10" s="27"/>
      <c r="J10" s="27"/>
      <c r="K10" s="12">
        <f t="shared" si="4"/>
        <v>4780.8999999999996</v>
      </c>
      <c r="L10" s="3">
        <v>263.58999999999997</v>
      </c>
      <c r="M10" s="3">
        <v>478.9</v>
      </c>
      <c r="N10" s="2">
        <f t="shared" si="5"/>
        <v>54.389999999999418</v>
      </c>
      <c r="O10" s="2">
        <f t="shared" si="6"/>
        <v>796.87999999999943</v>
      </c>
      <c r="P10" s="16">
        <f t="shared" si="7"/>
        <v>3984.0200000000004</v>
      </c>
      <c r="Q10" s="22"/>
      <c r="R10" s="46">
        <v>3984.02</v>
      </c>
    </row>
    <row r="11" spans="1:19" x14ac:dyDescent="0.25">
      <c r="A11" s="38">
        <v>5</v>
      </c>
      <c r="B11" s="47" t="s">
        <v>1</v>
      </c>
      <c r="C11" s="14">
        <v>5135.13</v>
      </c>
      <c r="D11" s="24"/>
      <c r="E11" s="24"/>
      <c r="F11" s="24"/>
      <c r="G11" s="24"/>
      <c r="H11" s="24"/>
      <c r="I11" s="27"/>
      <c r="J11" s="27"/>
      <c r="K11" s="12">
        <f t="shared" si="0"/>
        <v>5135.13</v>
      </c>
      <c r="L11" s="3">
        <v>343.29</v>
      </c>
      <c r="M11" s="3">
        <v>528.5</v>
      </c>
      <c r="N11" s="2">
        <f t="shared" si="3"/>
        <v>562.39000000000033</v>
      </c>
      <c r="O11" s="2">
        <f t="shared" si="1"/>
        <v>1434.1800000000003</v>
      </c>
      <c r="P11" s="16">
        <f>SUM(K11-O11)+H11</f>
        <v>3700.95</v>
      </c>
      <c r="Q11" s="22"/>
      <c r="R11" s="46">
        <v>3700.95</v>
      </c>
      <c r="S11" s="1"/>
    </row>
    <row r="12" spans="1:19" x14ac:dyDescent="0.25">
      <c r="A12" s="38">
        <v>6</v>
      </c>
      <c r="B12" s="47" t="s">
        <v>2</v>
      </c>
      <c r="C12" s="14">
        <v>6715.16</v>
      </c>
      <c r="D12" s="24"/>
      <c r="E12" s="24"/>
      <c r="F12" s="24"/>
      <c r="G12" s="24"/>
      <c r="H12" s="24"/>
      <c r="I12" s="27"/>
      <c r="J12" s="27"/>
      <c r="K12" s="12">
        <f t="shared" si="0"/>
        <v>6715.16</v>
      </c>
      <c r="L12" s="3">
        <v>731.77</v>
      </c>
      <c r="M12" s="3">
        <v>749.7</v>
      </c>
      <c r="N12" s="2">
        <f t="shared" si="3"/>
        <v>1431.0499999999997</v>
      </c>
      <c r="O12" s="2">
        <f t="shared" si="1"/>
        <v>2912.5199999999995</v>
      </c>
      <c r="P12" s="16">
        <f t="shared" si="2"/>
        <v>3802.6400000000003</v>
      </c>
      <c r="Q12" s="22"/>
      <c r="R12" s="46">
        <v>3802.64</v>
      </c>
    </row>
    <row r="13" spans="1:19" x14ac:dyDescent="0.25">
      <c r="A13" s="38">
        <v>7</v>
      </c>
      <c r="B13" s="47" t="s">
        <v>68</v>
      </c>
      <c r="C13" s="14">
        <f>2535.28+123.29</f>
        <v>2658.57</v>
      </c>
      <c r="D13" s="24">
        <f>507.06+39.88</f>
        <v>546.94000000000005</v>
      </c>
      <c r="E13" s="24"/>
      <c r="F13" s="24">
        <f>5465.13+1821.71</f>
        <v>7286.84</v>
      </c>
      <c r="G13" s="24"/>
      <c r="H13" s="24"/>
      <c r="I13" s="27"/>
      <c r="J13" s="27"/>
      <c r="K13" s="12">
        <f t="shared" si="0"/>
        <v>10492.35</v>
      </c>
      <c r="L13" s="3">
        <f>12.71+814.84</f>
        <v>827.55000000000007</v>
      </c>
      <c r="M13" s="3">
        <v>951.62</v>
      </c>
      <c r="N13" s="2">
        <f t="shared" si="3"/>
        <v>5893.33</v>
      </c>
      <c r="O13" s="2">
        <f t="shared" si="1"/>
        <v>7672.5</v>
      </c>
      <c r="P13" s="16">
        <f t="shared" si="2"/>
        <v>2819.8500000000004</v>
      </c>
      <c r="Q13" s="22"/>
      <c r="R13" s="46">
        <v>2819.85</v>
      </c>
    </row>
    <row r="14" spans="1:19" x14ac:dyDescent="0.25">
      <c r="A14" s="38">
        <v>8</v>
      </c>
      <c r="B14" s="47" t="s">
        <v>3</v>
      </c>
      <c r="C14" s="14">
        <f>17946.22+9421.77</f>
        <v>27367.99</v>
      </c>
      <c r="D14" s="24">
        <f>1794.62+7178.49</f>
        <v>8973.11</v>
      </c>
      <c r="E14" s="24"/>
      <c r="F14" s="24"/>
      <c r="G14" s="24"/>
      <c r="H14" s="24"/>
      <c r="I14" s="27"/>
      <c r="J14" s="27"/>
      <c r="K14" s="12">
        <f t="shared" si="0"/>
        <v>36341.100000000006</v>
      </c>
      <c r="L14" s="3">
        <v>8823.3799999999992</v>
      </c>
      <c r="M14" s="3">
        <v>951.62</v>
      </c>
      <c r="N14" s="2">
        <f>K14-L14-M14-R14</f>
        <v>110.89000000001033</v>
      </c>
      <c r="O14" s="2">
        <f t="shared" si="1"/>
        <v>9885.8900000000103</v>
      </c>
      <c r="P14" s="16">
        <f t="shared" si="2"/>
        <v>26455.209999999995</v>
      </c>
      <c r="Q14" s="22"/>
      <c r="R14" s="46">
        <v>26455.21</v>
      </c>
    </row>
    <row r="15" spans="1:19" x14ac:dyDescent="0.25">
      <c r="A15" s="38">
        <v>9</v>
      </c>
      <c r="B15" s="47" t="s">
        <v>4</v>
      </c>
      <c r="C15" s="14">
        <f>17946.22+6532.42</f>
        <v>24478.639999999999</v>
      </c>
      <c r="D15" s="24">
        <v>7178.49</v>
      </c>
      <c r="E15" s="24"/>
      <c r="F15" s="42"/>
      <c r="G15" s="24"/>
      <c r="H15" s="24"/>
      <c r="I15" s="27"/>
      <c r="J15" s="27"/>
      <c r="K15" s="12">
        <f t="shared" ref="K15:K30" si="8">SUM(C15:I15)</f>
        <v>31657.129999999997</v>
      </c>
      <c r="L15" s="3">
        <v>7535.29</v>
      </c>
      <c r="M15" s="3">
        <v>951.62</v>
      </c>
      <c r="N15" s="2">
        <f t="shared" ref="N15:N42" si="9">K15-L15-M15-R15</f>
        <v>83.559999999997672</v>
      </c>
      <c r="O15" s="2">
        <f t="shared" si="1"/>
        <v>8570.4699999999975</v>
      </c>
      <c r="P15" s="16">
        <f t="shared" si="2"/>
        <v>23086.66</v>
      </c>
      <c r="Q15" s="22"/>
      <c r="R15" s="46">
        <v>23086.66</v>
      </c>
    </row>
    <row r="16" spans="1:19" x14ac:dyDescent="0.25">
      <c r="A16" s="38">
        <v>10</v>
      </c>
      <c r="B16" s="47" t="s">
        <v>5</v>
      </c>
      <c r="C16" s="14">
        <f>4588.7+750.69</f>
        <v>5339.3899999999994</v>
      </c>
      <c r="D16" s="24">
        <v>1667.01</v>
      </c>
      <c r="E16" s="24"/>
      <c r="F16" s="24"/>
      <c r="G16" s="24"/>
      <c r="H16" s="24"/>
      <c r="I16" s="27"/>
      <c r="J16" s="27"/>
      <c r="K16" s="12">
        <f t="shared" si="8"/>
        <v>7006.4</v>
      </c>
      <c r="L16" s="3">
        <v>800.65</v>
      </c>
      <c r="M16" s="3">
        <v>790.47</v>
      </c>
      <c r="N16" s="2">
        <f t="shared" si="9"/>
        <v>71.899999999999636</v>
      </c>
      <c r="O16" s="2">
        <f t="shared" si="1"/>
        <v>1663.0199999999995</v>
      </c>
      <c r="P16" s="16">
        <f t="shared" si="2"/>
        <v>5343.38</v>
      </c>
      <c r="Q16" s="22"/>
      <c r="R16" s="46">
        <v>5343.38</v>
      </c>
    </row>
    <row r="17" spans="1:18" x14ac:dyDescent="0.25">
      <c r="A17" s="38">
        <v>11</v>
      </c>
      <c r="B17" s="47" t="s">
        <v>6</v>
      </c>
      <c r="C17" s="14">
        <v>4672.25</v>
      </c>
      <c r="D17" s="24"/>
      <c r="E17" s="24"/>
      <c r="F17" s="24"/>
      <c r="G17" s="24"/>
      <c r="H17" s="24"/>
      <c r="I17" s="27"/>
      <c r="J17" s="27"/>
      <c r="K17" s="12">
        <f t="shared" si="8"/>
        <v>4672.25</v>
      </c>
      <c r="L17" s="3">
        <v>239.15</v>
      </c>
      <c r="M17" s="3">
        <v>463.69</v>
      </c>
      <c r="N17" s="2">
        <f t="shared" si="9"/>
        <v>449.61000000000013</v>
      </c>
      <c r="O17" s="2">
        <f t="shared" si="1"/>
        <v>1152.4500000000003</v>
      </c>
      <c r="P17" s="16">
        <f t="shared" si="2"/>
        <v>3519.7999999999997</v>
      </c>
      <c r="Q17" s="22"/>
      <c r="R17" s="46">
        <v>3519.8</v>
      </c>
    </row>
    <row r="18" spans="1:18" x14ac:dyDescent="0.25">
      <c r="A18" s="38">
        <v>12</v>
      </c>
      <c r="B18" s="47" t="s">
        <v>7</v>
      </c>
      <c r="C18" s="14">
        <f>8353.33+2293.08</f>
        <v>10646.41</v>
      </c>
      <c r="D18" s="24">
        <v>4385.9799999999996</v>
      </c>
      <c r="E18" s="24"/>
      <c r="F18" s="24"/>
      <c r="G18" s="24"/>
      <c r="H18" s="24"/>
      <c r="I18" s="27"/>
      <c r="J18" s="27"/>
      <c r="K18" s="12">
        <f t="shared" si="8"/>
        <v>15032.39</v>
      </c>
      <c r="L18" s="3">
        <v>2807.07</v>
      </c>
      <c r="M18" s="3">
        <v>951.62</v>
      </c>
      <c r="N18" s="2">
        <f t="shared" si="9"/>
        <v>810.41999999999825</v>
      </c>
      <c r="O18" s="2">
        <f t="shared" si="1"/>
        <v>4569.1099999999988</v>
      </c>
      <c r="P18" s="16">
        <f t="shared" si="2"/>
        <v>10463.280000000001</v>
      </c>
      <c r="Q18" s="22"/>
      <c r="R18" s="46">
        <v>10463.280000000001</v>
      </c>
    </row>
    <row r="19" spans="1:18" x14ac:dyDescent="0.25">
      <c r="A19" s="38">
        <v>13</v>
      </c>
      <c r="B19" s="47" t="s">
        <v>76</v>
      </c>
      <c r="C19" s="14">
        <v>3472.55</v>
      </c>
      <c r="D19" s="24"/>
      <c r="E19" s="24"/>
      <c r="F19" s="24"/>
      <c r="G19" s="24"/>
      <c r="H19" s="24"/>
      <c r="I19" s="27"/>
      <c r="J19" s="27"/>
      <c r="K19" s="12">
        <f t="shared" ref="K19" si="10">SUM(C19:I19)</f>
        <v>3472.55</v>
      </c>
      <c r="L19" s="3">
        <v>35.64</v>
      </c>
      <c r="M19" s="3">
        <v>310.11</v>
      </c>
      <c r="N19" s="2">
        <f t="shared" ref="N19" si="11">K19-L19-M19-R19</f>
        <v>42.720000000000255</v>
      </c>
      <c r="O19" s="2">
        <f t="shared" ref="O19" si="12">SUM(L19:N19)</f>
        <v>388.47000000000025</v>
      </c>
      <c r="P19" s="16">
        <f t="shared" ref="P19" si="13">SUM(K19-O19)</f>
        <v>3084.08</v>
      </c>
      <c r="Q19" s="22"/>
      <c r="R19" s="46">
        <v>3084.08</v>
      </c>
    </row>
    <row r="20" spans="1:18" x14ac:dyDescent="0.25">
      <c r="A20" s="38">
        <v>14</v>
      </c>
      <c r="B20" s="47" t="s">
        <v>8</v>
      </c>
      <c r="C20" s="14">
        <v>4884.72</v>
      </c>
      <c r="D20" s="24"/>
      <c r="E20" s="24"/>
      <c r="F20" s="24"/>
      <c r="G20" s="24"/>
      <c r="H20" s="24"/>
      <c r="I20" s="27"/>
      <c r="J20" s="27"/>
      <c r="K20" s="12">
        <f t="shared" si="8"/>
        <v>4884.72</v>
      </c>
      <c r="L20" s="3">
        <v>286.95</v>
      </c>
      <c r="M20" s="3">
        <v>493.44</v>
      </c>
      <c r="N20" s="2">
        <f t="shared" si="9"/>
        <v>51.310000000000855</v>
      </c>
      <c r="O20" s="2">
        <f t="shared" si="1"/>
        <v>831.70000000000084</v>
      </c>
      <c r="P20" s="16">
        <f t="shared" si="2"/>
        <v>4053.0199999999995</v>
      </c>
      <c r="Q20" s="22"/>
      <c r="R20" s="46">
        <v>4053.02</v>
      </c>
    </row>
    <row r="21" spans="1:18" x14ac:dyDescent="0.25">
      <c r="A21" s="38">
        <v>15</v>
      </c>
      <c r="B21" s="47" t="s">
        <v>79</v>
      </c>
      <c r="C21" s="14">
        <f>2784.45+27.85</f>
        <v>2812.2999999999997</v>
      </c>
      <c r="D21" s="24"/>
      <c r="E21" s="24"/>
      <c r="F21" s="24">
        <f>1874.86+624.95</f>
        <v>2499.81</v>
      </c>
      <c r="G21" s="24"/>
      <c r="H21" s="24"/>
      <c r="I21" s="27"/>
      <c r="J21" s="27"/>
      <c r="K21" s="12">
        <f t="shared" si="8"/>
        <v>5312.11</v>
      </c>
      <c r="L21" s="3"/>
      <c r="M21" s="3">
        <f>338.57+214.7</f>
        <v>553.27</v>
      </c>
      <c r="N21" s="2">
        <f t="shared" ref="N21" si="14">K21-L21-M21-R21</f>
        <v>2334.46</v>
      </c>
      <c r="O21" s="2">
        <f t="shared" ref="O21" si="15">SUM(L21:N21)</f>
        <v>2887.73</v>
      </c>
      <c r="P21" s="16">
        <f t="shared" ref="P21" si="16">SUM(K21-O21)</f>
        <v>2424.3799999999997</v>
      </c>
      <c r="Q21" s="22"/>
      <c r="R21" s="46">
        <v>2424.38</v>
      </c>
    </row>
    <row r="22" spans="1:18" x14ac:dyDescent="0.25">
      <c r="A22" s="38">
        <v>16</v>
      </c>
      <c r="B22" s="47" t="s">
        <v>9</v>
      </c>
      <c r="C22" s="14">
        <f>20022.03+13645.01</f>
        <v>33667.040000000001</v>
      </c>
      <c r="D22" s="24">
        <v>27029.74</v>
      </c>
      <c r="E22" s="24"/>
      <c r="F22" s="24"/>
      <c r="G22" s="24"/>
      <c r="H22" s="24"/>
      <c r="I22" s="27"/>
      <c r="J22" s="27"/>
      <c r="K22" s="12">
        <f t="shared" si="8"/>
        <v>60696.78</v>
      </c>
      <c r="L22" s="3">
        <v>11580.28</v>
      </c>
      <c r="M22" s="3">
        <v>951.62</v>
      </c>
      <c r="N22" s="2">
        <f t="shared" si="9"/>
        <v>14878.329999999994</v>
      </c>
      <c r="O22" s="2">
        <f t="shared" si="1"/>
        <v>27410.229999999996</v>
      </c>
      <c r="P22" s="16">
        <f t="shared" si="2"/>
        <v>33286.550000000003</v>
      </c>
      <c r="Q22" s="22"/>
      <c r="R22" s="46">
        <v>33286.550000000003</v>
      </c>
    </row>
    <row r="23" spans="1:18" x14ac:dyDescent="0.25">
      <c r="A23" s="38">
        <v>17</v>
      </c>
      <c r="B23" s="47" t="s">
        <v>10</v>
      </c>
      <c r="C23" s="14">
        <f>9571.32+6675.99+8374.9</f>
        <v>24622.21</v>
      </c>
      <c r="D23" s="24">
        <v>3589.24</v>
      </c>
      <c r="E23" s="24"/>
      <c r="F23" s="24"/>
      <c r="G23" s="24"/>
      <c r="H23" s="24"/>
      <c r="I23" s="27"/>
      <c r="J23" s="27"/>
      <c r="K23" s="12">
        <f t="shared" si="8"/>
        <v>28211.449999999997</v>
      </c>
      <c r="L23" s="3">
        <v>6535.59</v>
      </c>
      <c r="M23" s="3">
        <v>951.62</v>
      </c>
      <c r="N23" s="2">
        <f t="shared" si="9"/>
        <v>922.98999999999796</v>
      </c>
      <c r="O23" s="2">
        <f t="shared" si="1"/>
        <v>8410.1999999999971</v>
      </c>
      <c r="P23" s="16">
        <f t="shared" si="2"/>
        <v>19801.25</v>
      </c>
      <c r="Q23" s="22"/>
      <c r="R23" s="46">
        <v>19801.25</v>
      </c>
    </row>
    <row r="24" spans="1:18" x14ac:dyDescent="0.25">
      <c r="A24" s="38">
        <v>18</v>
      </c>
      <c r="B24" s="47" t="s">
        <v>11</v>
      </c>
      <c r="C24" s="14">
        <v>10799.86</v>
      </c>
      <c r="D24" s="24"/>
      <c r="E24" s="24"/>
      <c r="F24" s="24"/>
      <c r="G24" s="24"/>
      <c r="H24" s="24"/>
      <c r="I24" s="27"/>
      <c r="J24" s="27"/>
      <c r="K24" s="12">
        <f t="shared" si="8"/>
        <v>10799.86</v>
      </c>
      <c r="L24" s="3">
        <v>1695.26</v>
      </c>
      <c r="M24" s="3">
        <v>951.62</v>
      </c>
      <c r="N24" s="2">
        <f t="shared" si="9"/>
        <v>2194.2300000000005</v>
      </c>
      <c r="O24" s="2">
        <f t="shared" si="1"/>
        <v>4841.1100000000006</v>
      </c>
      <c r="P24" s="16">
        <f t="shared" si="2"/>
        <v>5958.75</v>
      </c>
      <c r="Q24" s="22"/>
      <c r="R24" s="46">
        <v>5958.75</v>
      </c>
    </row>
    <row r="25" spans="1:18" x14ac:dyDescent="0.25">
      <c r="A25" s="38">
        <v>19</v>
      </c>
      <c r="B25" s="47" t="s">
        <v>71</v>
      </c>
      <c r="C25" s="14">
        <f>17768.53+6609.89</f>
        <v>24378.42</v>
      </c>
      <c r="D25" s="24">
        <v>3553.71</v>
      </c>
      <c r="E25" s="24"/>
      <c r="F25" s="24"/>
      <c r="G25" s="24"/>
      <c r="H25" s="24"/>
      <c r="I25" s="27"/>
      <c r="J25" s="27"/>
      <c r="K25" s="12">
        <f t="shared" si="8"/>
        <v>27932.129999999997</v>
      </c>
      <c r="L25" s="3">
        <v>6458.77</v>
      </c>
      <c r="M25" s="3">
        <v>951.62</v>
      </c>
      <c r="N25" s="2">
        <f t="shared" si="9"/>
        <v>3466.4599999999991</v>
      </c>
      <c r="O25" s="2">
        <f t="shared" si="1"/>
        <v>10876.849999999999</v>
      </c>
      <c r="P25" s="16">
        <f t="shared" si="2"/>
        <v>17055.28</v>
      </c>
      <c r="Q25" s="22"/>
      <c r="R25" s="46">
        <v>17055.28</v>
      </c>
    </row>
    <row r="26" spans="1:18" x14ac:dyDescent="0.25">
      <c r="A26" s="38">
        <v>20</v>
      </c>
      <c r="B26" s="47" t="s">
        <v>12</v>
      </c>
      <c r="C26" s="14">
        <f>2834.61+992.11</f>
        <v>3826.7200000000003</v>
      </c>
      <c r="D26" s="24"/>
      <c r="E26" s="24"/>
      <c r="F26" s="24">
        <f>7653.45+2551.15</f>
        <v>10204.6</v>
      </c>
      <c r="G26" s="24">
        <f>3826.72+1275.57</f>
        <v>5102.29</v>
      </c>
      <c r="H26" s="24"/>
      <c r="I26" s="27"/>
      <c r="J26" s="27"/>
      <c r="K26" s="12">
        <f t="shared" si="8"/>
        <v>19133.61</v>
      </c>
      <c r="L26" s="3">
        <f>88.77+1583.7</f>
        <v>1672.47</v>
      </c>
      <c r="M26" s="3">
        <v>951.62</v>
      </c>
      <c r="N26" s="2">
        <f t="shared" si="9"/>
        <v>13232.400000000001</v>
      </c>
      <c r="O26" s="2">
        <f t="shared" si="1"/>
        <v>15856.490000000002</v>
      </c>
      <c r="P26" s="16">
        <f>SUM(K26-O26)+H26</f>
        <v>3277.119999999999</v>
      </c>
      <c r="Q26" s="22"/>
      <c r="R26" s="46">
        <v>3277.12</v>
      </c>
    </row>
    <row r="27" spans="1:18" x14ac:dyDescent="0.25">
      <c r="A27" s="38">
        <v>21</v>
      </c>
      <c r="B27" s="47" t="s">
        <v>13</v>
      </c>
      <c r="C27" s="14">
        <v>12085.04</v>
      </c>
      <c r="D27" s="24"/>
      <c r="E27" s="24"/>
      <c r="F27" s="24"/>
      <c r="G27" s="24"/>
      <c r="H27" s="24"/>
      <c r="I27" s="27"/>
      <c r="J27" s="27"/>
      <c r="K27" s="12">
        <f t="shared" si="8"/>
        <v>12085.04</v>
      </c>
      <c r="L27" s="3">
        <v>2152.96</v>
      </c>
      <c r="M27" s="3">
        <v>951.62</v>
      </c>
      <c r="N27" s="2">
        <f t="shared" si="9"/>
        <v>115.02000000000044</v>
      </c>
      <c r="O27" s="2">
        <f t="shared" si="1"/>
        <v>3219.6000000000004</v>
      </c>
      <c r="P27" s="16">
        <f t="shared" si="2"/>
        <v>8865.44</v>
      </c>
      <c r="Q27" s="22"/>
      <c r="R27" s="46">
        <v>8865.44</v>
      </c>
    </row>
    <row r="28" spans="1:18" x14ac:dyDescent="0.25">
      <c r="A28" s="38">
        <v>22</v>
      </c>
      <c r="B28" s="47" t="s">
        <v>86</v>
      </c>
      <c r="C28" s="14">
        <v>0</v>
      </c>
      <c r="D28" s="24">
        <v>0</v>
      </c>
      <c r="E28" s="24"/>
      <c r="F28" s="24"/>
      <c r="G28" s="24"/>
      <c r="H28" s="27"/>
      <c r="I28" s="27"/>
      <c r="J28" s="27"/>
      <c r="K28" s="12">
        <f t="shared" si="8"/>
        <v>0</v>
      </c>
      <c r="L28" s="3"/>
      <c r="M28" s="3">
        <v>0</v>
      </c>
      <c r="N28" s="2">
        <f t="shared" si="9"/>
        <v>0</v>
      </c>
      <c r="O28" s="2">
        <f t="shared" si="1"/>
        <v>0</v>
      </c>
      <c r="P28" s="16">
        <f t="shared" si="2"/>
        <v>0</v>
      </c>
      <c r="Q28" s="22"/>
      <c r="R28" s="46">
        <v>0</v>
      </c>
    </row>
    <row r="29" spans="1:18" x14ac:dyDescent="0.25">
      <c r="A29" s="38">
        <v>23</v>
      </c>
      <c r="B29" s="47" t="s">
        <v>87</v>
      </c>
      <c r="C29" s="14">
        <f>937.43+18.74</f>
        <v>956.17</v>
      </c>
      <c r="D29" s="24"/>
      <c r="E29" s="24"/>
      <c r="F29" s="24">
        <f>4780.9+796.81+1593.63+265.6</f>
        <v>7436.94</v>
      </c>
      <c r="G29" s="24"/>
      <c r="H29" s="24">
        <v>2788.85</v>
      </c>
      <c r="I29" s="27"/>
      <c r="J29" s="27"/>
      <c r="K29" s="12">
        <f t="shared" ref="K29" si="17">SUM(C29:I29)</f>
        <v>11181.96</v>
      </c>
      <c r="L29" s="3"/>
      <c r="M29" s="3">
        <f>32.24+228.22</f>
        <v>260.45999999999998</v>
      </c>
      <c r="N29" s="2">
        <f t="shared" ref="N29" si="18">K29-L29-M29-R29</f>
        <v>4192.37</v>
      </c>
      <c r="O29" s="2">
        <f t="shared" ref="O29" si="19">SUM(L29:N29)</f>
        <v>4452.83</v>
      </c>
      <c r="P29" s="16">
        <f t="shared" ref="P29" si="20">SUM(K29-O29)</f>
        <v>6729.1299999999992</v>
      </c>
      <c r="Q29" s="22"/>
      <c r="R29" s="46">
        <v>6729.13</v>
      </c>
    </row>
    <row r="30" spans="1:18" x14ac:dyDescent="0.25">
      <c r="A30" s="38">
        <v>24</v>
      </c>
      <c r="B30" s="47" t="s">
        <v>14</v>
      </c>
      <c r="C30" s="14">
        <v>10553.99</v>
      </c>
      <c r="D30" s="24"/>
      <c r="E30" s="24"/>
      <c r="F30" s="24"/>
      <c r="G30" s="24"/>
      <c r="H30" s="24"/>
      <c r="I30" s="27"/>
      <c r="J30" s="27"/>
      <c r="K30" s="12">
        <f t="shared" si="8"/>
        <v>10553.99</v>
      </c>
      <c r="L30" s="3">
        <v>1731.92</v>
      </c>
      <c r="M30" s="3">
        <v>951.62</v>
      </c>
      <c r="N30" s="2">
        <f t="shared" si="9"/>
        <v>338.97999999999956</v>
      </c>
      <c r="O30" s="2">
        <f t="shared" si="1"/>
        <v>3022.5199999999995</v>
      </c>
      <c r="P30" s="16">
        <f t="shared" si="2"/>
        <v>7531.47</v>
      </c>
      <c r="Q30" s="22"/>
      <c r="R30" s="46">
        <v>7531.47</v>
      </c>
    </row>
    <row r="31" spans="1:18" x14ac:dyDescent="0.25">
      <c r="A31" s="38">
        <v>25</v>
      </c>
      <c r="B31" s="47" t="s">
        <v>55</v>
      </c>
      <c r="C31" s="14">
        <v>7979.57</v>
      </c>
      <c r="D31" s="24"/>
      <c r="E31" s="24"/>
      <c r="F31" s="24"/>
      <c r="G31" s="24"/>
      <c r="H31" s="24"/>
      <c r="I31" s="27"/>
      <c r="J31" s="27"/>
      <c r="K31" s="12">
        <f>SUM(C31:I31)</f>
        <v>7979.57</v>
      </c>
      <c r="L31" s="3">
        <v>1030.8</v>
      </c>
      <c r="M31" s="3">
        <v>926.72</v>
      </c>
      <c r="N31" s="2">
        <f t="shared" ref="N31" si="21">K31-L31-M31-R31</f>
        <v>124.51999999999953</v>
      </c>
      <c r="O31" s="2">
        <f t="shared" ref="O31" si="22">SUM(L31:N31)</f>
        <v>2082.0399999999995</v>
      </c>
      <c r="P31" s="16">
        <f>SUM(K31-O31)+H31</f>
        <v>5897.5300000000007</v>
      </c>
      <c r="Q31" s="22"/>
      <c r="R31" s="46">
        <v>5897.53</v>
      </c>
    </row>
    <row r="32" spans="1:18" x14ac:dyDescent="0.25">
      <c r="A32" s="38">
        <v>26</v>
      </c>
      <c r="B32" s="47" t="s">
        <v>15</v>
      </c>
      <c r="C32" s="14">
        <v>4414.1000000000004</v>
      </c>
      <c r="D32" s="24"/>
      <c r="E32" s="24"/>
      <c r="F32" s="24"/>
      <c r="G32" s="24"/>
      <c r="H32" s="24"/>
      <c r="I32" s="27"/>
      <c r="J32" s="27"/>
      <c r="K32" s="12">
        <f>SUM(C32:I32)</f>
        <v>4414.1000000000004</v>
      </c>
      <c r="L32" s="3">
        <v>181.06</v>
      </c>
      <c r="M32" s="3">
        <v>427.55</v>
      </c>
      <c r="N32" s="2">
        <f t="shared" si="9"/>
        <v>1280.02</v>
      </c>
      <c r="O32" s="2">
        <f t="shared" si="1"/>
        <v>1888.63</v>
      </c>
      <c r="P32" s="16">
        <f>SUM(K32-O32)+H32</f>
        <v>2525.4700000000003</v>
      </c>
      <c r="Q32" s="22"/>
      <c r="R32" s="46">
        <v>2525.4699999999998</v>
      </c>
    </row>
    <row r="33" spans="1:18" x14ac:dyDescent="0.25">
      <c r="A33" s="38">
        <v>27</v>
      </c>
      <c r="B33" s="47" t="s">
        <v>80</v>
      </c>
      <c r="C33" s="14">
        <v>4734.03</v>
      </c>
      <c r="D33" s="24"/>
      <c r="E33" s="24"/>
      <c r="F33" s="24"/>
      <c r="G33" s="24"/>
      <c r="H33" s="24"/>
      <c r="I33" s="27"/>
      <c r="J33" s="27"/>
      <c r="K33" s="12">
        <f>SUM(C33:I33)</f>
        <v>4734.03</v>
      </c>
      <c r="L33" s="3">
        <v>253.05</v>
      </c>
      <c r="M33" s="3">
        <v>472.34</v>
      </c>
      <c r="N33" s="2">
        <f t="shared" ref="N33:N34" si="23">K33-L33-M33-R33</f>
        <v>94.389999999999418</v>
      </c>
      <c r="O33" s="2">
        <f t="shared" ref="O33:O34" si="24">SUM(L33:N33)</f>
        <v>819.7799999999994</v>
      </c>
      <c r="P33" s="16">
        <f>SUM(K33-O33)+H33</f>
        <v>3914.2500000000005</v>
      </c>
      <c r="Q33" s="22"/>
      <c r="R33" s="46">
        <v>3914.25</v>
      </c>
    </row>
    <row r="34" spans="1:18" x14ac:dyDescent="0.25">
      <c r="A34" s="38">
        <v>28</v>
      </c>
      <c r="B34" s="47" t="s">
        <v>81</v>
      </c>
      <c r="C34" s="14">
        <v>4640.76</v>
      </c>
      <c r="D34" s="24"/>
      <c r="E34" s="24"/>
      <c r="F34" s="24"/>
      <c r="G34" s="24"/>
      <c r="H34" s="24"/>
      <c r="I34" s="27"/>
      <c r="J34" s="27"/>
      <c r="K34" s="12">
        <f>SUM(C34:I34)</f>
        <v>4640.76</v>
      </c>
      <c r="L34" s="3">
        <v>232.06</v>
      </c>
      <c r="M34" s="3">
        <v>459.29</v>
      </c>
      <c r="N34" s="2">
        <f t="shared" si="23"/>
        <v>94.389999999999873</v>
      </c>
      <c r="O34" s="2">
        <f t="shared" si="24"/>
        <v>785.7399999999999</v>
      </c>
      <c r="P34" s="16">
        <f>SUM(K34-O34)+H34</f>
        <v>3855.0200000000004</v>
      </c>
      <c r="Q34" s="22"/>
      <c r="R34" s="46">
        <v>3855.02</v>
      </c>
    </row>
    <row r="35" spans="1:18" x14ac:dyDescent="0.25">
      <c r="A35" s="38">
        <v>29</v>
      </c>
      <c r="B35" s="47" t="s">
        <v>16</v>
      </c>
      <c r="C35" s="14">
        <f>8606.45+1755.72</f>
        <v>10362.17</v>
      </c>
      <c r="D35" s="24">
        <v>1721.29</v>
      </c>
      <c r="E35" s="24"/>
      <c r="F35" s="24"/>
      <c r="G35" s="24"/>
      <c r="H35" s="24"/>
      <c r="I35" s="27"/>
      <c r="J35" s="27"/>
      <c r="K35" s="12">
        <f>SUM(C35:I35)</f>
        <v>12083.46</v>
      </c>
      <c r="L35" s="3">
        <v>2152.5300000000002</v>
      </c>
      <c r="M35" s="3">
        <f>539.04+412.58</f>
        <v>951.61999999999989</v>
      </c>
      <c r="N35" s="2">
        <f t="shared" si="9"/>
        <v>81.349999999998545</v>
      </c>
      <c r="O35" s="2">
        <f t="shared" si="1"/>
        <v>3185.4999999999986</v>
      </c>
      <c r="P35" s="16">
        <f t="shared" si="2"/>
        <v>8897.9600000000009</v>
      </c>
      <c r="Q35" s="22"/>
      <c r="R35" s="46">
        <v>8897.9599999999991</v>
      </c>
    </row>
    <row r="36" spans="1:18" x14ac:dyDescent="0.25">
      <c r="A36" s="38">
        <v>30</v>
      </c>
      <c r="B36" s="47" t="s">
        <v>17</v>
      </c>
      <c r="C36" s="14">
        <f>17768.53+6183.45</f>
        <v>23951.98</v>
      </c>
      <c r="D36" s="24">
        <v>3553.71</v>
      </c>
      <c r="E36" s="24"/>
      <c r="F36" s="24"/>
      <c r="G36" s="24"/>
      <c r="H36" s="24"/>
      <c r="I36" s="27"/>
      <c r="J36" s="27"/>
      <c r="K36" s="12">
        <f t="shared" ref="K36:K42" si="25">SUM(C36:I36)</f>
        <v>27505.69</v>
      </c>
      <c r="L36" s="3">
        <v>6393.64</v>
      </c>
      <c r="M36" s="3">
        <v>951.62</v>
      </c>
      <c r="N36" s="2">
        <f t="shared" si="9"/>
        <v>432.63000000000102</v>
      </c>
      <c r="O36" s="2">
        <f t="shared" si="1"/>
        <v>7777.8900000000012</v>
      </c>
      <c r="P36" s="16">
        <f t="shared" si="2"/>
        <v>19727.799999999996</v>
      </c>
      <c r="Q36" s="22"/>
      <c r="R36" s="46">
        <v>19727.8</v>
      </c>
    </row>
    <row r="37" spans="1:18" x14ac:dyDescent="0.25">
      <c r="A37" s="38">
        <v>31</v>
      </c>
      <c r="B37" s="47" t="s">
        <v>56</v>
      </c>
      <c r="C37" s="14">
        <f>7947.91+1430.62</f>
        <v>9378.5299999999988</v>
      </c>
      <c r="D37" s="24">
        <v>1589.58</v>
      </c>
      <c r="E37" s="24"/>
      <c r="F37" s="24"/>
      <c r="G37" s="24"/>
      <c r="H37" s="24"/>
      <c r="I37" s="27"/>
      <c r="J37" s="27"/>
      <c r="K37" s="12">
        <f t="shared" si="25"/>
        <v>10968.109999999999</v>
      </c>
      <c r="L37" s="3">
        <v>1845.8</v>
      </c>
      <c r="M37" s="3">
        <v>951.62</v>
      </c>
      <c r="N37" s="2">
        <f t="shared" si="9"/>
        <v>2384.7199999999993</v>
      </c>
      <c r="O37" s="2">
        <f t="shared" si="1"/>
        <v>5182.1399999999994</v>
      </c>
      <c r="P37" s="16">
        <f t="shared" si="2"/>
        <v>5785.9699999999993</v>
      </c>
      <c r="Q37" s="22"/>
      <c r="R37" s="46">
        <v>5785.97</v>
      </c>
    </row>
    <row r="38" spans="1:18" x14ac:dyDescent="0.25">
      <c r="A38" s="38">
        <v>32</v>
      </c>
      <c r="B38" s="47" t="s">
        <v>18</v>
      </c>
      <c r="C38" s="14">
        <f>7714.16+1125.96</f>
        <v>8840.119999999999</v>
      </c>
      <c r="D38" s="24">
        <f>1542.83+978.99</f>
        <v>2521.8199999999997</v>
      </c>
      <c r="E38" s="24"/>
      <c r="F38" s="24"/>
      <c r="G38" s="24"/>
      <c r="H38" s="24"/>
      <c r="I38" s="27"/>
      <c r="J38" s="27"/>
      <c r="K38" s="12">
        <f t="shared" si="25"/>
        <v>11361.939999999999</v>
      </c>
      <c r="L38" s="3">
        <v>1849.83</v>
      </c>
      <c r="M38" s="3">
        <v>951.62</v>
      </c>
      <c r="N38" s="2">
        <f t="shared" si="9"/>
        <v>3049.4299999999976</v>
      </c>
      <c r="O38" s="2">
        <f t="shared" si="1"/>
        <v>5850.8799999999974</v>
      </c>
      <c r="P38" s="16">
        <f>SUM(K38-O38)+H38</f>
        <v>5511.0600000000013</v>
      </c>
      <c r="Q38" s="22"/>
      <c r="R38" s="46">
        <v>5511.06</v>
      </c>
    </row>
    <row r="39" spans="1:18" x14ac:dyDescent="0.25">
      <c r="A39" s="38">
        <v>33</v>
      </c>
      <c r="B39" s="47" t="s">
        <v>84</v>
      </c>
      <c r="C39" s="14">
        <v>6197.53</v>
      </c>
      <c r="D39" s="24">
        <v>1239.51</v>
      </c>
      <c r="E39" s="24"/>
      <c r="F39" s="24"/>
      <c r="G39" s="24"/>
      <c r="H39" s="24"/>
      <c r="I39" s="27"/>
      <c r="J39" s="27"/>
      <c r="K39" s="12">
        <f t="shared" si="25"/>
        <v>7437.04</v>
      </c>
      <c r="L39" s="3">
        <v>798.22</v>
      </c>
      <c r="M39" s="3">
        <v>850.76</v>
      </c>
      <c r="N39" s="2">
        <f t="shared" si="9"/>
        <v>454.44999999999982</v>
      </c>
      <c r="O39" s="2">
        <f t="shared" si="1"/>
        <v>2103.4299999999998</v>
      </c>
      <c r="P39" s="16">
        <f>SUM(K39-O39)+H39</f>
        <v>5333.6100000000006</v>
      </c>
      <c r="Q39" s="22"/>
      <c r="R39" s="46">
        <v>5333.61</v>
      </c>
    </row>
    <row r="40" spans="1:18" x14ac:dyDescent="0.25">
      <c r="A40" s="38">
        <v>34</v>
      </c>
      <c r="B40" s="47" t="s">
        <v>53</v>
      </c>
      <c r="C40" s="14">
        <v>3984.05</v>
      </c>
      <c r="D40" s="24"/>
      <c r="E40" s="24"/>
      <c r="F40" s="24"/>
      <c r="G40" s="24"/>
      <c r="H40" s="24"/>
      <c r="I40" s="27"/>
      <c r="J40" s="27"/>
      <c r="K40" s="12">
        <f t="shared" si="25"/>
        <v>3984.05</v>
      </c>
      <c r="L40" s="3">
        <v>112.37</v>
      </c>
      <c r="M40" s="3">
        <v>371.49</v>
      </c>
      <c r="N40" s="2">
        <f t="shared" ref="N40" si="26">K40-L40-M40-R40</f>
        <v>67.970000000000709</v>
      </c>
      <c r="O40" s="2">
        <f t="shared" ref="O40" si="27">SUM(L40:N40)</f>
        <v>551.83000000000072</v>
      </c>
      <c r="P40" s="16">
        <f t="shared" ref="P40" si="28">SUM(K40-O40)</f>
        <v>3432.2199999999993</v>
      </c>
      <c r="Q40" s="22"/>
      <c r="R40" s="46">
        <v>3432.22</v>
      </c>
    </row>
    <row r="41" spans="1:18" x14ac:dyDescent="0.25">
      <c r="A41" s="38">
        <v>35</v>
      </c>
      <c r="B41" s="47" t="s">
        <v>19</v>
      </c>
      <c r="C41" s="14">
        <f>5018.59+1032.13</f>
        <v>6050.72</v>
      </c>
      <c r="D41" s="24">
        <f>1432.22</f>
        <v>1432.22</v>
      </c>
      <c r="E41" s="24"/>
      <c r="F41" s="24"/>
      <c r="G41" s="24"/>
      <c r="H41" s="24"/>
      <c r="I41" s="27"/>
      <c r="J41" s="27"/>
      <c r="K41" s="12">
        <f t="shared" si="25"/>
        <v>7482.9400000000005</v>
      </c>
      <c r="L41" s="3">
        <v>913.35</v>
      </c>
      <c r="M41" s="3">
        <v>857.19</v>
      </c>
      <c r="N41" s="2">
        <f t="shared" si="9"/>
        <v>321.50999999999931</v>
      </c>
      <c r="O41" s="2">
        <f t="shared" si="1"/>
        <v>2092.0499999999993</v>
      </c>
      <c r="P41" s="16">
        <f t="shared" si="2"/>
        <v>5390.8900000000012</v>
      </c>
      <c r="Q41" s="22"/>
      <c r="R41" s="46">
        <v>5390.89</v>
      </c>
    </row>
    <row r="42" spans="1:18" x14ac:dyDescent="0.25">
      <c r="A42" s="38">
        <v>36</v>
      </c>
      <c r="B42" s="47" t="s">
        <v>20</v>
      </c>
      <c r="C42" s="14">
        <f>18861.66+6790.2</f>
        <v>25651.86</v>
      </c>
      <c r="D42" s="24">
        <v>3772.33</v>
      </c>
      <c r="E42" s="24"/>
      <c r="F42" s="24"/>
      <c r="G42" s="24"/>
      <c r="H42" s="24"/>
      <c r="I42" s="27"/>
      <c r="J42" s="27"/>
      <c r="K42" s="12">
        <f t="shared" si="25"/>
        <v>29424.190000000002</v>
      </c>
      <c r="L42" s="3">
        <v>6816.95</v>
      </c>
      <c r="M42" s="3">
        <f>253.54+698.08</f>
        <v>951.62</v>
      </c>
      <c r="N42" s="2">
        <f t="shared" si="9"/>
        <v>102.35000000000218</v>
      </c>
      <c r="O42" s="2">
        <f t="shared" si="1"/>
        <v>7870.9200000000019</v>
      </c>
      <c r="P42" s="16">
        <f t="shared" si="2"/>
        <v>21553.27</v>
      </c>
      <c r="Q42" s="22"/>
      <c r="R42" s="46">
        <v>21553.27</v>
      </c>
    </row>
    <row r="43" spans="1:18" x14ac:dyDescent="0.25">
      <c r="A43" s="38">
        <v>37</v>
      </c>
      <c r="B43" s="48" t="s">
        <v>21</v>
      </c>
      <c r="C43" s="29">
        <v>4358.8900000000003</v>
      </c>
      <c r="D43" s="25"/>
      <c r="E43" s="25"/>
      <c r="F43" s="25"/>
      <c r="G43" s="24"/>
      <c r="H43" s="24"/>
      <c r="I43" s="27"/>
      <c r="J43" s="27"/>
      <c r="K43" s="30">
        <f t="shared" ref="K43:K52" si="29">SUM(C43:I43)</f>
        <v>4358.8900000000003</v>
      </c>
      <c r="L43" s="31">
        <v>168.64</v>
      </c>
      <c r="M43" s="31">
        <v>419.82</v>
      </c>
      <c r="N43" s="32">
        <f t="shared" ref="N43:N64" si="30">K43-L43-M43-R43</f>
        <v>379.27999999999975</v>
      </c>
      <c r="O43" s="32">
        <f t="shared" si="1"/>
        <v>967.73999999999978</v>
      </c>
      <c r="P43" s="33">
        <f t="shared" si="2"/>
        <v>3391.1500000000005</v>
      </c>
      <c r="Q43" s="22"/>
      <c r="R43" s="46">
        <v>3391.15</v>
      </c>
    </row>
    <row r="44" spans="1:18" x14ac:dyDescent="0.25">
      <c r="A44" s="38">
        <v>38</v>
      </c>
      <c r="B44" s="48" t="s">
        <v>73</v>
      </c>
      <c r="C44" s="29">
        <v>4975.03</v>
      </c>
      <c r="D44" s="25"/>
      <c r="E44" s="25"/>
      <c r="F44" s="25"/>
      <c r="G44" s="24"/>
      <c r="H44" s="24"/>
      <c r="I44" s="27"/>
      <c r="J44" s="27"/>
      <c r="K44" s="30">
        <f t="shared" ref="K44" si="31">SUM(C44:I44)</f>
        <v>4975.03</v>
      </c>
      <c r="L44" s="31">
        <v>287.37</v>
      </c>
      <c r="M44" s="31">
        <v>506.08</v>
      </c>
      <c r="N44" s="32">
        <f t="shared" ref="N44" si="32">K44-L44-M44-R44</f>
        <v>271.88000000000011</v>
      </c>
      <c r="O44" s="32">
        <f t="shared" ref="O44" si="33">SUM(L44:N44)</f>
        <v>1065.3300000000002</v>
      </c>
      <c r="P44" s="33">
        <f t="shared" ref="P44" si="34">SUM(K44-O44)</f>
        <v>3909.7</v>
      </c>
      <c r="Q44" s="22"/>
      <c r="R44" s="46">
        <v>3909.7</v>
      </c>
    </row>
    <row r="45" spans="1:18" x14ac:dyDescent="0.25">
      <c r="A45" s="38">
        <v>39</v>
      </c>
      <c r="B45" s="47" t="s">
        <v>22</v>
      </c>
      <c r="C45" s="14">
        <f>808.4+238.36</f>
        <v>1046.76</v>
      </c>
      <c r="D45" s="24">
        <v>145.03</v>
      </c>
      <c r="E45" s="24"/>
      <c r="F45" s="24">
        <f>6311.98+2103.99</f>
        <v>8415.9699999999993</v>
      </c>
      <c r="G45" s="24"/>
      <c r="H45" s="24"/>
      <c r="I45" s="27"/>
      <c r="J45" s="27"/>
      <c r="K45" s="12">
        <f t="shared" si="29"/>
        <v>9607.7599999999984</v>
      </c>
      <c r="L45" s="3"/>
      <c r="M45" s="3">
        <f>824.74+126.88</f>
        <v>951.62</v>
      </c>
      <c r="N45" s="2">
        <f t="shared" si="30"/>
        <v>8461.739999999998</v>
      </c>
      <c r="O45" s="2">
        <f t="shared" si="1"/>
        <v>9413.3599999999988</v>
      </c>
      <c r="P45" s="16">
        <f t="shared" si="2"/>
        <v>194.39999999999964</v>
      </c>
      <c r="Q45" s="22"/>
      <c r="R45" s="46">
        <v>194.4</v>
      </c>
    </row>
    <row r="46" spans="1:18" x14ac:dyDescent="0.25">
      <c r="A46" s="38">
        <v>40</v>
      </c>
      <c r="B46" s="47" t="s">
        <v>23</v>
      </c>
      <c r="C46" s="14">
        <f>12268.21+2208.28</f>
        <v>14476.49</v>
      </c>
      <c r="D46" s="24"/>
      <c r="E46" s="24"/>
      <c r="F46" s="24"/>
      <c r="G46" s="24"/>
      <c r="H46" s="24"/>
      <c r="I46" s="27">
        <v>2454.1799999999998</v>
      </c>
      <c r="J46" s="27"/>
      <c r="K46" s="12">
        <f t="shared" si="29"/>
        <v>16930.669999999998</v>
      </c>
      <c r="L46" s="3">
        <v>3433.37</v>
      </c>
      <c r="M46" s="3">
        <f>370.07+581.55</f>
        <v>951.61999999999989</v>
      </c>
      <c r="N46" s="2">
        <f t="shared" si="30"/>
        <v>1112.9500000000007</v>
      </c>
      <c r="O46" s="2">
        <f t="shared" si="1"/>
        <v>5497.9400000000005</v>
      </c>
      <c r="P46" s="16">
        <f t="shared" si="2"/>
        <v>11432.729999999998</v>
      </c>
      <c r="Q46" s="22"/>
      <c r="R46" s="46">
        <v>11432.73</v>
      </c>
    </row>
    <row r="47" spans="1:18" x14ac:dyDescent="0.25">
      <c r="A47" s="38">
        <v>41</v>
      </c>
      <c r="B47" s="47" t="s">
        <v>24</v>
      </c>
      <c r="C47" s="14">
        <f>8735.21+4740.15</f>
        <v>13475.359999999999</v>
      </c>
      <c r="D47" s="24">
        <v>7610.13</v>
      </c>
      <c r="E47" s="24"/>
      <c r="F47" s="24"/>
      <c r="G47" s="24"/>
      <c r="H47" s="24"/>
      <c r="I47" s="27"/>
      <c r="J47" s="27"/>
      <c r="K47" s="12">
        <f t="shared" si="29"/>
        <v>21085.489999999998</v>
      </c>
      <c r="L47" s="3">
        <v>4628.08</v>
      </c>
      <c r="M47" s="3">
        <v>951.62</v>
      </c>
      <c r="N47" s="2">
        <f>K47-L47-M47-R47</f>
        <v>1280.0599999999959</v>
      </c>
      <c r="O47" s="2">
        <f>SUM(L47:N47)</f>
        <v>6859.7599999999957</v>
      </c>
      <c r="P47" s="16">
        <f t="shared" si="2"/>
        <v>14225.730000000003</v>
      </c>
      <c r="Q47" s="22"/>
      <c r="R47" s="46">
        <v>14225.73</v>
      </c>
    </row>
    <row r="48" spans="1:18" x14ac:dyDescent="0.25">
      <c r="A48" s="38">
        <v>42</v>
      </c>
      <c r="B48" s="47" t="s">
        <v>25</v>
      </c>
      <c r="C48" s="14">
        <f>8353.33+1804.32</f>
        <v>10157.65</v>
      </c>
      <c r="D48" s="24">
        <v>1670.67</v>
      </c>
      <c r="E48" s="24"/>
      <c r="F48" s="24"/>
      <c r="G48" s="24"/>
      <c r="H48" s="24"/>
      <c r="I48" s="27"/>
      <c r="J48" s="27"/>
      <c r="K48" s="12">
        <f t="shared" si="29"/>
        <v>11828.32</v>
      </c>
      <c r="L48" s="3">
        <v>1978.09</v>
      </c>
      <c r="M48" s="3">
        <f>427.7+523.92</f>
        <v>951.61999999999989</v>
      </c>
      <c r="N48" s="2">
        <f t="shared" si="30"/>
        <v>696.55000000000109</v>
      </c>
      <c r="O48" s="2">
        <f t="shared" si="1"/>
        <v>3626.2600000000011</v>
      </c>
      <c r="P48" s="16">
        <f t="shared" si="2"/>
        <v>8202.0599999999977</v>
      </c>
      <c r="Q48" s="22"/>
      <c r="R48" s="46">
        <v>8202.06</v>
      </c>
    </row>
    <row r="49" spans="1:18" x14ac:dyDescent="0.25">
      <c r="A49" s="38">
        <v>43</v>
      </c>
      <c r="B49" s="47" t="s">
        <v>78</v>
      </c>
      <c r="C49" s="14">
        <v>3542.35</v>
      </c>
      <c r="D49" s="24"/>
      <c r="E49" s="24"/>
      <c r="F49" s="24"/>
      <c r="G49" s="24"/>
      <c r="H49" s="24"/>
      <c r="I49" s="27"/>
      <c r="J49" s="27"/>
      <c r="K49" s="12">
        <f t="shared" si="29"/>
        <v>3542.35</v>
      </c>
      <c r="L49" s="3">
        <v>46.11</v>
      </c>
      <c r="M49" s="3">
        <v>318.48</v>
      </c>
      <c r="N49" s="2">
        <f t="shared" ref="N49" si="35">K49-L49-M49-R49</f>
        <v>66.709999999999582</v>
      </c>
      <c r="O49" s="2">
        <f t="shared" ref="O49" si="36">SUM(L49:N49)</f>
        <v>431.29999999999961</v>
      </c>
      <c r="P49" s="16">
        <f t="shared" ref="P49" si="37">SUM(K49-O49)</f>
        <v>3111.05</v>
      </c>
      <c r="Q49" s="22"/>
      <c r="R49" s="46">
        <v>3111.05</v>
      </c>
    </row>
    <row r="50" spans="1:18" x14ac:dyDescent="0.25">
      <c r="A50" s="38">
        <v>44</v>
      </c>
      <c r="B50" s="47" t="s">
        <v>26</v>
      </c>
      <c r="C50" s="14">
        <f>7441.96+2857.71</f>
        <v>10299.67</v>
      </c>
      <c r="D50" s="24">
        <v>1488.39</v>
      </c>
      <c r="E50" s="24"/>
      <c r="F50" s="24">
        <f>2357.61+785.87</f>
        <v>3143.48</v>
      </c>
      <c r="G50" s="24"/>
      <c r="H50" s="24"/>
      <c r="I50" s="27"/>
      <c r="J50" s="27"/>
      <c r="K50" s="12">
        <f t="shared" si="29"/>
        <v>14931.539999999999</v>
      </c>
      <c r="L50" s="3">
        <f>2093.57</f>
        <v>2093.5700000000002</v>
      </c>
      <c r="M50" s="3">
        <v>951.62</v>
      </c>
      <c r="N50" s="2">
        <f t="shared" si="30"/>
        <v>4993.9499999999989</v>
      </c>
      <c r="O50" s="2">
        <f t="shared" si="1"/>
        <v>8039.1399999999994</v>
      </c>
      <c r="P50" s="16">
        <f>SUM(K50-O50)+H50</f>
        <v>6892.4</v>
      </c>
      <c r="Q50" s="22"/>
      <c r="R50" s="46">
        <v>6892.4</v>
      </c>
    </row>
    <row r="51" spans="1:18" x14ac:dyDescent="0.25">
      <c r="A51" s="38">
        <v>45</v>
      </c>
      <c r="B51" s="47" t="s">
        <v>27</v>
      </c>
      <c r="C51" s="14">
        <f>6278.03+1130.04</f>
        <v>7408.07</v>
      </c>
      <c r="D51" s="24">
        <v>1255.6099999999999</v>
      </c>
      <c r="E51" s="24"/>
      <c r="F51" s="24">
        <f>2636.77+878.92</f>
        <v>3515.69</v>
      </c>
      <c r="G51" s="24"/>
      <c r="H51" s="24"/>
      <c r="I51" s="27"/>
      <c r="J51" s="27"/>
      <c r="K51" s="12">
        <f t="shared" si="29"/>
        <v>12179.37</v>
      </c>
      <c r="L51" s="3">
        <f>1306.8+925.34</f>
        <v>2232.14</v>
      </c>
      <c r="M51" s="3">
        <v>951.62</v>
      </c>
      <c r="N51" s="2">
        <f t="shared" si="30"/>
        <v>3231.630000000001</v>
      </c>
      <c r="O51" s="2">
        <f t="shared" si="1"/>
        <v>6415.3900000000012</v>
      </c>
      <c r="P51" s="16">
        <f>SUM(K51-O51)+H51</f>
        <v>5763.98</v>
      </c>
      <c r="Q51" s="22"/>
      <c r="R51" s="46">
        <v>5763.98</v>
      </c>
    </row>
    <row r="52" spans="1:18" x14ac:dyDescent="0.25">
      <c r="A52" s="38">
        <v>46</v>
      </c>
      <c r="B52" s="47" t="s">
        <v>28</v>
      </c>
      <c r="C52" s="14">
        <v>7011.99</v>
      </c>
      <c r="D52" s="24"/>
      <c r="E52" s="24"/>
      <c r="F52" s="24"/>
      <c r="G52" s="24"/>
      <c r="H52" s="24"/>
      <c r="I52" s="27"/>
      <c r="J52" s="27"/>
      <c r="K52" s="12">
        <f t="shared" si="29"/>
        <v>7011.99</v>
      </c>
      <c r="L52" s="3">
        <v>749.83</v>
      </c>
      <c r="M52" s="3">
        <v>791.26</v>
      </c>
      <c r="N52" s="2">
        <f t="shared" si="30"/>
        <v>1493.3099999999995</v>
      </c>
      <c r="O52" s="2">
        <f t="shared" si="1"/>
        <v>3034.3999999999996</v>
      </c>
      <c r="P52" s="16">
        <f t="shared" si="2"/>
        <v>3977.59</v>
      </c>
      <c r="Q52" s="22"/>
      <c r="R52" s="46">
        <v>3977.59</v>
      </c>
    </row>
    <row r="53" spans="1:18" x14ac:dyDescent="0.25">
      <c r="A53" s="38">
        <v>47</v>
      </c>
      <c r="B53" s="47" t="s">
        <v>29</v>
      </c>
      <c r="C53" s="14">
        <f>8107.66+1929.62</f>
        <v>10037.279999999999</v>
      </c>
      <c r="D53" s="24">
        <v>3243.06</v>
      </c>
      <c r="E53" s="24"/>
      <c r="F53" s="24"/>
      <c r="G53" s="24"/>
      <c r="H53" s="24"/>
      <c r="I53" s="27"/>
      <c r="J53" s="27"/>
      <c r="K53" s="12">
        <f t="shared" ref="K53:K61" si="38">SUM(C53:I53)</f>
        <v>13280.339999999998</v>
      </c>
      <c r="L53" s="3">
        <v>2429.5300000000002</v>
      </c>
      <c r="M53" s="3">
        <f>720.8+230.82</f>
        <v>951.61999999999989</v>
      </c>
      <c r="N53" s="2">
        <f t="shared" si="30"/>
        <v>374.02999999999884</v>
      </c>
      <c r="O53" s="2">
        <f t="shared" si="1"/>
        <v>3755.1799999999989</v>
      </c>
      <c r="P53" s="16">
        <f t="shared" si="2"/>
        <v>9525.16</v>
      </c>
      <c r="Q53" s="22"/>
      <c r="R53" s="46">
        <v>9525.16</v>
      </c>
    </row>
    <row r="54" spans="1:18" x14ac:dyDescent="0.25">
      <c r="A54" s="38">
        <v>48</v>
      </c>
      <c r="B54" s="47" t="s">
        <v>30</v>
      </c>
      <c r="C54" s="14">
        <f>8405.24+1208.67</f>
        <v>9613.91</v>
      </c>
      <c r="D54" s="24">
        <v>1667.01</v>
      </c>
      <c r="E54" s="24"/>
      <c r="F54" s="24"/>
      <c r="G54" s="24"/>
      <c r="H54" s="24"/>
      <c r="I54" s="27"/>
      <c r="J54" s="27"/>
      <c r="K54" s="12">
        <f t="shared" si="38"/>
        <v>11280.92</v>
      </c>
      <c r="L54" s="3">
        <v>1879.69</v>
      </c>
      <c r="M54" s="3">
        <f>462.97+488.65</f>
        <v>951.62</v>
      </c>
      <c r="N54" s="2">
        <f t="shared" si="30"/>
        <v>1072.619999999999</v>
      </c>
      <c r="O54" s="2">
        <f t="shared" si="1"/>
        <v>3903.9299999999989</v>
      </c>
      <c r="P54" s="16">
        <f t="shared" si="2"/>
        <v>7376.9900000000016</v>
      </c>
      <c r="Q54" s="22"/>
      <c r="R54" s="46">
        <v>7376.99</v>
      </c>
    </row>
    <row r="55" spans="1:18" x14ac:dyDescent="0.25">
      <c r="A55" s="38">
        <v>49</v>
      </c>
      <c r="B55" s="47" t="s">
        <v>52</v>
      </c>
      <c r="C55" s="14">
        <f>1985.82+158.86</f>
        <v>2144.6799999999998</v>
      </c>
      <c r="D55" s="24"/>
      <c r="E55" s="24"/>
      <c r="F55" s="24">
        <f>1876.6+625.53</f>
        <v>2502.13</v>
      </c>
      <c r="G55" s="24">
        <f>1251.06+417.02</f>
        <v>1668.08</v>
      </c>
      <c r="H55" s="24"/>
      <c r="I55" s="27"/>
      <c r="J55" s="27"/>
      <c r="K55" s="12">
        <f t="shared" si="38"/>
        <v>6314.8899999999994</v>
      </c>
      <c r="L55" s="3"/>
      <c r="M55" s="3">
        <f>256.2+203.93</f>
        <v>460.13</v>
      </c>
      <c r="N55" s="2">
        <f t="shared" ref="N55" si="39">K55-L55-M55-R55</f>
        <v>4290.6099999999988</v>
      </c>
      <c r="O55" s="2">
        <f t="shared" ref="O55" si="40">SUM(L55:N55)</f>
        <v>4750.7399999999989</v>
      </c>
      <c r="P55" s="16">
        <f t="shared" ref="P55" si="41">SUM(K55-O55)</f>
        <v>1564.1500000000005</v>
      </c>
      <c r="Q55" s="22"/>
      <c r="R55" s="46">
        <v>1564.15</v>
      </c>
    </row>
    <row r="56" spans="1:18" x14ac:dyDescent="0.25">
      <c r="A56" s="38">
        <v>50</v>
      </c>
      <c r="B56" s="47" t="s">
        <v>31</v>
      </c>
      <c r="C56" s="14">
        <f>18674.91+7395.26</f>
        <v>26070.17</v>
      </c>
      <c r="D56" s="24">
        <v>3734.98</v>
      </c>
      <c r="E56" s="24"/>
      <c r="F56" s="24"/>
      <c r="G56" s="24"/>
      <c r="H56" s="24"/>
      <c r="I56" s="27"/>
      <c r="J56" s="27"/>
      <c r="K56" s="12">
        <f t="shared" si="38"/>
        <v>29805.149999999998</v>
      </c>
      <c r="L56" s="3">
        <v>7025.99</v>
      </c>
      <c r="M56" s="3">
        <v>726</v>
      </c>
      <c r="N56" s="2">
        <f t="shared" si="30"/>
        <v>586.33999999999651</v>
      </c>
      <c r="O56" s="2">
        <f t="shared" si="1"/>
        <v>8338.3299999999963</v>
      </c>
      <c r="P56" s="16">
        <f>SUM(K56-O56)+H56</f>
        <v>21466.82</v>
      </c>
      <c r="Q56" s="22"/>
      <c r="R56" s="46">
        <v>21466.82</v>
      </c>
    </row>
    <row r="57" spans="1:18" x14ac:dyDescent="0.25">
      <c r="A57" s="38">
        <v>51</v>
      </c>
      <c r="B57" s="47" t="s">
        <v>32</v>
      </c>
      <c r="C57" s="14">
        <v>4478.38</v>
      </c>
      <c r="D57" s="24"/>
      <c r="E57" s="24"/>
      <c r="F57" s="24"/>
      <c r="G57" s="24"/>
      <c r="H57" s="24"/>
      <c r="I57" s="27"/>
      <c r="J57" s="27"/>
      <c r="K57" s="12">
        <f t="shared" si="38"/>
        <v>4478.38</v>
      </c>
      <c r="L57" s="3">
        <v>195.53</v>
      </c>
      <c r="M57" s="3">
        <v>436.55</v>
      </c>
      <c r="N57" s="2">
        <f t="shared" si="30"/>
        <v>68.330000000000382</v>
      </c>
      <c r="O57" s="2">
        <f t="shared" si="1"/>
        <v>700.41000000000042</v>
      </c>
      <c r="P57" s="16">
        <f t="shared" si="2"/>
        <v>3777.97</v>
      </c>
      <c r="Q57" s="22"/>
      <c r="R57" s="46">
        <v>3777.97</v>
      </c>
    </row>
    <row r="58" spans="1:18" x14ac:dyDescent="0.25">
      <c r="A58" s="38">
        <v>52</v>
      </c>
      <c r="B58" s="47" t="s">
        <v>69</v>
      </c>
      <c r="C58" s="14">
        <f>4781.37+257.94</f>
        <v>5039.3099999999995</v>
      </c>
      <c r="D58" s="24">
        <f>1667.01+18.12</f>
        <v>1685.1299999999999</v>
      </c>
      <c r="E58" s="24"/>
      <c r="F58" s="24"/>
      <c r="G58" s="24"/>
      <c r="H58" s="24"/>
      <c r="I58" s="27"/>
      <c r="J58" s="27"/>
      <c r="K58" s="12">
        <f t="shared" si="38"/>
        <v>6724.44</v>
      </c>
      <c r="L58" s="3">
        <v>734.14</v>
      </c>
      <c r="M58" s="3">
        <v>751.1</v>
      </c>
      <c r="N58" s="2">
        <f t="shared" ref="N58" si="42">K58-L58-M58-R58</f>
        <v>162.64999999999873</v>
      </c>
      <c r="O58" s="2">
        <f t="shared" ref="O58" si="43">SUM(L58:N58)</f>
        <v>1647.8899999999987</v>
      </c>
      <c r="P58" s="16">
        <f t="shared" ref="P58" si="44">SUM(K58-O58)</f>
        <v>5076.5500000000011</v>
      </c>
      <c r="Q58" s="22"/>
      <c r="R58" s="46">
        <v>5076.55</v>
      </c>
    </row>
    <row r="59" spans="1:18" x14ac:dyDescent="0.25">
      <c r="A59" s="38">
        <v>53</v>
      </c>
      <c r="B59" s="47" t="s">
        <v>74</v>
      </c>
      <c r="C59" s="14">
        <v>4733.57</v>
      </c>
      <c r="D59" s="24"/>
      <c r="E59" s="24"/>
      <c r="F59" s="24"/>
      <c r="G59" s="24"/>
      <c r="H59" s="24"/>
      <c r="I59" s="27"/>
      <c r="J59" s="27"/>
      <c r="K59" s="12">
        <f t="shared" si="38"/>
        <v>4733.57</v>
      </c>
      <c r="L59" s="3">
        <v>252.94</v>
      </c>
      <c r="M59" s="3">
        <v>472.28</v>
      </c>
      <c r="N59" s="2">
        <f t="shared" ref="N59" si="45">K59-L59-M59-R59</f>
        <v>162.39000000000033</v>
      </c>
      <c r="O59" s="2">
        <f t="shared" ref="O59" si="46">SUM(L59:N59)</f>
        <v>887.61000000000035</v>
      </c>
      <c r="P59" s="16">
        <f t="shared" ref="P59" si="47">SUM(K59-O59)</f>
        <v>3845.9599999999991</v>
      </c>
      <c r="Q59" s="22"/>
      <c r="R59" s="46">
        <v>3845.96</v>
      </c>
    </row>
    <row r="60" spans="1:18" x14ac:dyDescent="0.25">
      <c r="A60" s="38">
        <v>54</v>
      </c>
      <c r="B60" s="47" t="s">
        <v>33</v>
      </c>
      <c r="C60" s="14">
        <f>16763.16+8213.95</f>
        <v>24977.11</v>
      </c>
      <c r="D60" s="24">
        <v>6705.26</v>
      </c>
      <c r="E60" s="24"/>
      <c r="F60" s="24"/>
      <c r="G60" s="24"/>
      <c r="H60" s="24"/>
      <c r="I60" s="27"/>
      <c r="J60" s="27"/>
      <c r="K60" s="12">
        <f t="shared" si="38"/>
        <v>31682.370000000003</v>
      </c>
      <c r="L60" s="3">
        <v>7490.09</v>
      </c>
      <c r="M60" s="3">
        <v>951.62</v>
      </c>
      <c r="N60" s="2">
        <f t="shared" si="30"/>
        <v>1891.5700000000033</v>
      </c>
      <c r="O60" s="2">
        <f t="shared" si="1"/>
        <v>10333.280000000004</v>
      </c>
      <c r="P60" s="16">
        <f>SUM(K60-O60)+H60</f>
        <v>21349.089999999997</v>
      </c>
      <c r="Q60" s="22"/>
      <c r="R60" s="46">
        <v>21349.09</v>
      </c>
    </row>
    <row r="61" spans="1:18" x14ac:dyDescent="0.25">
      <c r="A61" s="38">
        <v>55</v>
      </c>
      <c r="B61" s="47" t="s">
        <v>34</v>
      </c>
      <c r="C61" s="14">
        <v>8819.26</v>
      </c>
      <c r="D61" s="24"/>
      <c r="E61" s="24"/>
      <c r="F61" s="24"/>
      <c r="G61" s="24"/>
      <c r="H61" s="24"/>
      <c r="I61" s="27"/>
      <c r="J61" s="27"/>
      <c r="K61" s="12">
        <f t="shared" si="38"/>
        <v>8819.26</v>
      </c>
      <c r="L61" s="3">
        <v>1202.73</v>
      </c>
      <c r="M61" s="3">
        <v>951.62</v>
      </c>
      <c r="N61" s="2">
        <f t="shared" si="30"/>
        <v>2196.2200000000012</v>
      </c>
      <c r="O61" s="2">
        <f t="shared" si="1"/>
        <v>4350.5700000000015</v>
      </c>
      <c r="P61" s="16">
        <f t="shared" si="2"/>
        <v>4468.6899999999987</v>
      </c>
      <c r="Q61" s="22"/>
      <c r="R61" s="46">
        <v>4468.6899999999996</v>
      </c>
    </row>
    <row r="62" spans="1:18" x14ac:dyDescent="0.25">
      <c r="A62" s="38">
        <v>56</v>
      </c>
      <c r="B62" s="47" t="s">
        <v>57</v>
      </c>
      <c r="C62" s="14">
        <v>7476.57</v>
      </c>
      <c r="D62" s="24"/>
      <c r="E62" s="24"/>
      <c r="F62" s="24"/>
      <c r="G62" s="24"/>
      <c r="H62" s="24"/>
      <c r="I62" s="27"/>
      <c r="J62" s="27"/>
      <c r="K62" s="12">
        <f>SUM(C62:I62)</f>
        <v>7476.57</v>
      </c>
      <c r="L62" s="3">
        <v>911.84</v>
      </c>
      <c r="M62" s="3">
        <v>856.3</v>
      </c>
      <c r="N62" s="2">
        <f t="shared" ref="N62" si="48">K62-L62-M62-R62</f>
        <v>145.84999999999945</v>
      </c>
      <c r="O62" s="2">
        <f t="shared" ref="O62" si="49">SUM(L62:N62)</f>
        <v>1913.9899999999993</v>
      </c>
      <c r="P62" s="16">
        <f t="shared" ref="P62" si="50">SUM(K62-O62)</f>
        <v>5562.58</v>
      </c>
      <c r="Q62" s="22"/>
      <c r="R62" s="46">
        <v>5562.58</v>
      </c>
    </row>
    <row r="63" spans="1:18" x14ac:dyDescent="0.25">
      <c r="A63" s="38">
        <v>57</v>
      </c>
      <c r="B63" s="49" t="s">
        <v>75</v>
      </c>
      <c r="C63" s="43">
        <v>4925.7700000000004</v>
      </c>
      <c r="D63" s="44"/>
      <c r="E63" s="44"/>
      <c r="F63" s="44"/>
      <c r="G63" s="24"/>
      <c r="H63" s="24"/>
      <c r="I63" s="27"/>
      <c r="J63" s="27"/>
      <c r="K63" s="12">
        <f>SUM(C63:I63)</f>
        <v>4925.7700000000004</v>
      </c>
      <c r="L63" s="45">
        <v>296.19</v>
      </c>
      <c r="M63" s="45">
        <v>499.19</v>
      </c>
      <c r="N63" s="2">
        <f t="shared" ref="N63" si="51">K63-L63-M63-R63</f>
        <v>375.06000000000131</v>
      </c>
      <c r="O63" s="2">
        <f t="shared" ref="O63" si="52">SUM(L63:N63)</f>
        <v>1170.4400000000014</v>
      </c>
      <c r="P63" s="16">
        <f t="shared" ref="P63" si="53">SUM(K63-O63)</f>
        <v>3755.329999999999</v>
      </c>
      <c r="Q63" s="22"/>
      <c r="R63" s="46">
        <v>3755.33</v>
      </c>
    </row>
    <row r="64" spans="1:18" ht="15.75" thickBot="1" x14ac:dyDescent="0.3">
      <c r="A64" s="38">
        <v>58</v>
      </c>
      <c r="B64" s="50" t="s">
        <v>35</v>
      </c>
      <c r="C64" s="15">
        <f>12514.81+2803.32</f>
        <v>15318.13</v>
      </c>
      <c r="D64" s="26">
        <v>5005.92</v>
      </c>
      <c r="E64" s="26"/>
      <c r="F64" s="26"/>
      <c r="G64" s="26"/>
      <c r="H64" s="26"/>
      <c r="I64" s="28">
        <v>2454.17</v>
      </c>
      <c r="J64" s="28"/>
      <c r="K64" s="13">
        <f>SUM(C64:J64)</f>
        <v>22778.22</v>
      </c>
      <c r="L64" s="10">
        <v>5041.45</v>
      </c>
      <c r="M64" s="10">
        <v>951.62</v>
      </c>
      <c r="N64" s="11">
        <f t="shared" si="30"/>
        <v>179.62000000000262</v>
      </c>
      <c r="O64" s="11">
        <f t="shared" si="1"/>
        <v>6172.6900000000023</v>
      </c>
      <c r="P64" s="17">
        <f t="shared" si="2"/>
        <v>16605.53</v>
      </c>
      <c r="Q64" s="22"/>
      <c r="R64" s="46">
        <v>16605.53</v>
      </c>
    </row>
    <row r="65" spans="2:16" ht="15.75" thickBot="1" x14ac:dyDescent="0.3"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</row>
    <row r="66" spans="2:16" x14ac:dyDescent="0.25">
      <c r="B66" s="51" t="s">
        <v>82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3"/>
    </row>
    <row r="67" spans="2:16" ht="5.25" customHeight="1" x14ac:dyDescent="0.25">
      <c r="B67" s="68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70"/>
    </row>
    <row r="68" spans="2:16" x14ac:dyDescent="0.25">
      <c r="B68" s="71" t="s">
        <v>65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3"/>
    </row>
    <row r="69" spans="2:16" x14ac:dyDescent="0.25">
      <c r="B69" s="68" t="s">
        <v>63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83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x14ac:dyDescent="0.25">
      <c r="B71" s="68" t="s">
        <v>64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70"/>
    </row>
    <row r="72" spans="2:16" ht="15.75" thickBot="1" x14ac:dyDescent="0.3">
      <c r="B72" s="65" t="s">
        <v>77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</row>
    <row r="73" spans="2:16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</row>
    <row r="74" spans="2:16" x14ac:dyDescent="0.25">
      <c r="B74" s="6"/>
      <c r="C74" s="5"/>
      <c r="D74" s="5"/>
      <c r="E74" s="5"/>
      <c r="F74" s="5"/>
      <c r="G74" s="5"/>
      <c r="H74" s="5"/>
      <c r="I74" s="5"/>
      <c r="J74" s="5"/>
      <c r="K74" s="39"/>
      <c r="L74" s="5"/>
      <c r="M74" s="5"/>
      <c r="N74" s="5"/>
      <c r="O74" s="39"/>
      <c r="P74" s="5"/>
    </row>
    <row r="75" spans="2:16" x14ac:dyDescent="0.25">
      <c r="B75" s="4"/>
      <c r="C75" s="4"/>
      <c r="D75" s="4"/>
      <c r="E75" s="4"/>
      <c r="F75" s="4"/>
      <c r="G75" s="4"/>
      <c r="H75" s="4"/>
      <c r="I75" s="4"/>
      <c r="J75" s="4"/>
      <c r="K75" s="41"/>
      <c r="L75" s="41"/>
      <c r="M75" s="41"/>
      <c r="N75" s="41"/>
      <c r="O75" s="41"/>
      <c r="P75" s="41"/>
    </row>
    <row r="76" spans="2:16" x14ac:dyDescent="0.25">
      <c r="K76" s="1"/>
      <c r="O76" s="1"/>
      <c r="P76" s="1"/>
    </row>
    <row r="78" spans="2:16" x14ac:dyDescent="0.25">
      <c r="K78" s="1"/>
      <c r="O78" s="1"/>
    </row>
    <row r="79" spans="2:16" x14ac:dyDescent="0.25">
      <c r="K79" s="1"/>
      <c r="L79" s="1"/>
      <c r="M79" s="1"/>
      <c r="N79" s="1"/>
      <c r="P79" s="1"/>
    </row>
  </sheetData>
  <mergeCells count="18">
    <mergeCell ref="B72:P72"/>
    <mergeCell ref="B67:P67"/>
    <mergeCell ref="B68:P68"/>
    <mergeCell ref="B69:P69"/>
    <mergeCell ref="B71:P71"/>
    <mergeCell ref="B70:P70"/>
    <mergeCell ref="B66:P66"/>
    <mergeCell ref="B65:P65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2025-08-28T18:43:25Z</dcterms:modified>
</cp:coreProperties>
</file>