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5-MAIO\"/>
    </mc:Choice>
  </mc:AlternateContent>
  <xr:revisionPtr revIDLastSave="0" documentId="13_ncr:1_{3F3B06D0-9B1F-4473-A4FB-C09F3503C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6" l="1"/>
  <c r="C59" i="6"/>
  <c r="M57" i="6"/>
  <c r="G57" i="6"/>
  <c r="F57" i="6"/>
  <c r="D57" i="6"/>
  <c r="C57" i="6"/>
  <c r="C55" i="6"/>
  <c r="C53" i="6"/>
  <c r="C52" i="6"/>
  <c r="C50" i="6"/>
  <c r="C48" i="6"/>
  <c r="C47" i="6"/>
  <c r="C46" i="6"/>
  <c r="C45" i="6"/>
  <c r="C44" i="6"/>
  <c r="C41" i="6"/>
  <c r="C40" i="6"/>
  <c r="M39" i="6"/>
  <c r="F39" i="6"/>
  <c r="C39" i="6"/>
  <c r="D38" i="6"/>
  <c r="C38" i="6"/>
  <c r="C37" i="6"/>
  <c r="C36" i="6"/>
  <c r="C35" i="6"/>
  <c r="L30" i="6"/>
  <c r="G30" i="6"/>
  <c r="F30" i="6"/>
  <c r="C30" i="6"/>
  <c r="C28" i="6"/>
  <c r="C25" i="6"/>
  <c r="C23" i="6"/>
  <c r="G22" i="6"/>
  <c r="F22" i="6"/>
  <c r="C22" i="6"/>
  <c r="M21" i="6"/>
  <c r="G21" i="6"/>
  <c r="F21" i="6"/>
  <c r="C21" i="6"/>
  <c r="M19" i="6"/>
  <c r="F19" i="6"/>
  <c r="C19" i="6"/>
  <c r="C18" i="6"/>
  <c r="M16" i="6"/>
  <c r="L16" i="6"/>
  <c r="H16" i="6"/>
  <c r="G16" i="6"/>
  <c r="F16" i="6"/>
  <c r="C16" i="6"/>
  <c r="G15" i="6"/>
  <c r="F15" i="6"/>
  <c r="C15" i="6"/>
  <c r="D14" i="6"/>
  <c r="C14" i="6"/>
  <c r="C13" i="6"/>
  <c r="C9" i="6"/>
  <c r="C8" i="6"/>
  <c r="C7" i="6"/>
  <c r="M13" i="6"/>
  <c r="M53" i="6"/>
  <c r="M52" i="6"/>
  <c r="M49" i="6"/>
  <c r="M46" i="6"/>
  <c r="M24" i="6"/>
  <c r="K34" i="6"/>
  <c r="N34" i="6" s="1"/>
  <c r="O34" i="6" s="1"/>
  <c r="P34" i="6" s="1"/>
  <c r="K33" i="6" l="1"/>
  <c r="N33" i="6" s="1"/>
  <c r="O33" i="6" s="1"/>
  <c r="P33" i="6" s="1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2" i="6"/>
  <c r="N62" i="6" s="1"/>
  <c r="O62" i="6" s="1"/>
  <c r="P62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10" i="6"/>
  <c r="N28" i="6" l="1"/>
  <c r="O28" i="6" s="1"/>
  <c r="P28" i="6" s="1"/>
  <c r="O19" i="6"/>
  <c r="P19" i="6" s="1"/>
  <c r="P58" i="6"/>
  <c r="N10" i="6"/>
  <c r="O10" i="6" s="1"/>
  <c r="P10" i="6" s="1"/>
  <c r="K57" i="6"/>
  <c r="K63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6" i="6"/>
  <c r="K49" i="6"/>
  <c r="K51" i="6"/>
  <c r="K52" i="6"/>
  <c r="K53" i="6"/>
  <c r="K54" i="6"/>
  <c r="K56" i="6"/>
  <c r="K59" i="6"/>
  <c r="K60" i="6"/>
  <c r="K61" i="6"/>
  <c r="K42" i="6"/>
  <c r="K41" i="6"/>
  <c r="K30" i="6"/>
  <c r="K31" i="6"/>
  <c r="K32" i="6"/>
  <c r="K35" i="6"/>
  <c r="K37" i="6"/>
  <c r="K38" i="6"/>
  <c r="K39" i="6"/>
  <c r="K40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0" i="6" l="1"/>
  <c r="K14" i="6"/>
  <c r="N61" i="6" l="1"/>
  <c r="O61" i="6" s="1"/>
  <c r="P61" i="6" s="1"/>
  <c r="N31" i="6" l="1"/>
  <c r="O31" i="6" s="1"/>
  <c r="P31" i="6" s="1"/>
  <c r="N8" i="6" l="1"/>
  <c r="O8" i="6" s="1"/>
  <c r="P8" i="6" s="1"/>
  <c r="N39" i="6" l="1"/>
  <c r="O39" i="6" s="1"/>
  <c r="P39" i="6" s="1"/>
  <c r="N54" i="6" l="1"/>
  <c r="O54" i="6" s="1"/>
  <c r="P54" i="6" s="1"/>
  <c r="N15" i="6" l="1"/>
  <c r="O15" i="6" s="1"/>
  <c r="P15" i="6" s="1"/>
  <c r="N12" i="6" l="1"/>
  <c r="O12" i="6" s="1"/>
  <c r="P12" i="6" s="1"/>
  <c r="N63" i="6"/>
  <c r="O63" i="6" s="1"/>
  <c r="P63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7" i="6"/>
  <c r="O37" i="6" s="1"/>
  <c r="P37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4" i="6" l="1"/>
  <c r="O44" i="6" s="1"/>
  <c r="P44" i="6" s="1"/>
  <c r="N60" i="6"/>
  <c r="O60" i="6" s="1"/>
  <c r="P60" i="6" s="1"/>
  <c r="N16" i="6"/>
  <c r="O16" i="6" s="1"/>
  <c r="P16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2" i="6"/>
  <c r="O32" i="6" s="1"/>
  <c r="P32" i="6" s="1"/>
  <c r="N26" i="6"/>
  <c r="O26" i="6" s="1"/>
  <c r="P26" i="6" s="1"/>
  <c r="N38" i="6"/>
  <c r="O38" i="6" s="1"/>
  <c r="P38" i="6" s="1"/>
  <c r="N42" i="6"/>
  <c r="O42" i="6" s="1"/>
  <c r="P42" i="6" s="1"/>
  <c r="N20" i="6"/>
  <c r="O20" i="6" s="1"/>
  <c r="P20" i="6" s="1"/>
  <c r="N17" i="6"/>
  <c r="O17" i="6" s="1"/>
  <c r="P17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  <c r="N30" i="6"/>
  <c r="O30" i="6" s="1"/>
  <c r="P30" i="6" s="1"/>
</calcChain>
</file>

<file path=xl/sharedStrings.xml><?xml version="1.0" encoding="utf-8"?>
<sst xmlns="http://schemas.openxmlformats.org/spreadsheetml/2006/main" count="89" uniqueCount="87">
  <si>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</si>
  <si>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</si>
  <si>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</si>
  <si>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</si>
  <si>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</si>
  <si>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</si>
  <si>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</si>
  <si>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</si>
  <si>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</si>
  <si>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</si>
  <si>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</si>
  <si>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</si>
  <si>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</si>
  <si>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</si>
  <si>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</si>
  <si>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</si>
  <si>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</si>
  <si>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</si>
  <si>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</si>
  <si>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</si>
  <si>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</si>
  <si>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</si>
  <si>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</si>
  <si>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</si>
  <si>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</si>
  <si>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</si>
  <si>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</si>
  <si>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</si>
  <si>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</si>
  <si>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</si>
  <si>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</si>
  <si>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</si>
  <si>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</si>
  <si>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</si>
  <si>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</si>
  <si>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</si>
  <si>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</si>
  <si>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</si>
  <si>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</si>
  <si>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</si>
  <si>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</si>
  <si>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</si>
  <si>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</si>
  <si>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</si>
  <si>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</si>
  <si>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</si>
  <si>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</si>
  <si>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</si>
  <si>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</si>
  <si>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</si>
  <si>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</si>
  <si>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</si>
  <si>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</si>
  <si>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</si>
  <si>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</si>
  <si>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</si>
  <si>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</si>
  <si>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</si>
  <si>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</si>
  <si>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</si>
  <si>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</si>
  <si>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</si>
  <si>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</si>
  <si>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</si>
  <si>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</si>
  <si>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</si>
  <si>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</si>
  <si>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</si>
  <si>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</si>
  <si>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</si>
  <si>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</si>
  <si>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</si>
  <si>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</si>
  <si>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</si>
  <si>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</si>
  <si>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</si>
  <si>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</si>
  <si>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</si>
  <si>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</si>
  <si>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</si>
  <si>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</si>
  <si>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</si>
  <si>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</si>
  <si>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</si>
  <si>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Maio/2025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</si>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</sst>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S1" sqref="S1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47</v>
      </c>
      <c r="C5" s="59" t="s">
        <v>37</v>
      </c>
      <c r="D5" s="63" t="s">
        <v>59</v>
      </c>
      <c r="E5" s="59" t="s">
        <v>38</v>
      </c>
      <c r="F5" s="59" t="s">
        <v>60</v>
      </c>
      <c r="G5" s="34" t="s">
        <v>61</v>
      </c>
      <c r="H5" s="35" t="s">
        <v>63</v>
      </c>
      <c r="I5" s="18" t="s">
        <v>50</v>
      </c>
      <c r="J5" s="8" t="s">
        <v>67</v>
      </c>
      <c r="K5" s="18" t="s">
        <v>39</v>
      </c>
      <c r="L5" s="61" t="s">
        <v>41</v>
      </c>
      <c r="M5" s="59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58"/>
      <c r="C6" s="60"/>
      <c r="D6" s="64"/>
      <c r="E6" s="60"/>
      <c r="F6" s="60"/>
      <c r="G6" s="36" t="s">
        <v>62</v>
      </c>
      <c r="H6" s="37" t="s">
        <v>52</v>
      </c>
      <c r="I6" s="19" t="s">
        <v>51</v>
      </c>
      <c r="J6" s="9" t="s">
        <v>68</v>
      </c>
      <c r="K6" s="19" t="s">
        <v>40</v>
      </c>
      <c r="L6" s="62"/>
      <c r="M6" s="60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7916.33+1125.03</f>
        <v>9041.36</v>
      </c>
      <c r="D7" s="24">
        <v>3333.98</v>
      </c>
      <c r="E7" s="24"/>
      <c r="F7" s="24"/>
      <c r="G7" s="24"/>
      <c r="H7" s="24"/>
      <c r="I7" s="27"/>
      <c r="J7" s="27"/>
      <c r="K7" s="12">
        <f t="shared" ref="K7:K14" si="0">SUM(C7:I7)</f>
        <v>12375.34</v>
      </c>
      <c r="L7" s="3">
        <v>2401.0100000000002</v>
      </c>
      <c r="M7" s="3">
        <v>951.62</v>
      </c>
      <c r="N7" s="2">
        <f>K7-L7-M7-R7</f>
        <v>43.289999999999054</v>
      </c>
      <c r="O7" s="2">
        <f t="shared" ref="O7:O63" si="1">SUM(L7:N7)</f>
        <v>3395.9199999999992</v>
      </c>
      <c r="P7" s="16">
        <f t="shared" ref="P7:P63" si="2">SUM(K7-O7)</f>
        <v>8979.4200000000019</v>
      </c>
      <c r="Q7" s="22"/>
      <c r="R7" s="46">
        <v>8979.42</v>
      </c>
    </row>
    <row r="8" spans="1:19" x14ac:dyDescent="0.25">
      <c r="A8" s="38">
        <v>2</v>
      </c>
      <c r="B8" s="47" t="s">
        <v>55</v>
      </c>
      <c r="C8" s="14">
        <f>3650.05+488.88</f>
        <v>4138.93</v>
      </c>
      <c r="D8" s="24">
        <v>3333.98</v>
      </c>
      <c r="E8" s="24"/>
      <c r="F8" s="24"/>
      <c r="G8" s="24"/>
      <c r="H8" s="24"/>
      <c r="I8" s="27"/>
      <c r="J8" s="27"/>
      <c r="K8" s="12">
        <f t="shared" si="0"/>
        <v>7472.91</v>
      </c>
      <c r="L8" s="3">
        <v>998.33</v>
      </c>
      <c r="M8" s="3">
        <v>855.79</v>
      </c>
      <c r="N8" s="2">
        <f t="shared" ref="N8:N13" si="3">K8-L8-M8-R8</f>
        <v>137.69999999999982</v>
      </c>
      <c r="O8" s="2">
        <f t="shared" si="1"/>
        <v>1991.8199999999997</v>
      </c>
      <c r="P8" s="16">
        <f t="shared" si="2"/>
        <v>5481.09</v>
      </c>
      <c r="Q8" s="22"/>
      <c r="R8" s="46">
        <v>5481.09</v>
      </c>
    </row>
    <row r="9" spans="1:19" x14ac:dyDescent="0.25">
      <c r="A9" s="38">
        <v>3</v>
      </c>
      <c r="B9" s="47" t="s">
        <v>71</v>
      </c>
      <c r="C9" s="14">
        <f>6644.59+318.94</f>
        <v>6963.53</v>
      </c>
      <c r="D9" s="24">
        <v>1328.92</v>
      </c>
      <c r="E9" s="24"/>
      <c r="H9" s="24"/>
      <c r="I9" s="27"/>
      <c r="J9" s="27"/>
      <c r="K9" s="12">
        <f t="shared" ref="K9:K10" si="4">SUM(C9:I9)</f>
        <v>8292.4500000000007</v>
      </c>
      <c r="L9" s="3">
        <v>1221.6400000000001</v>
      </c>
      <c r="M9" s="3">
        <v>902.53</v>
      </c>
      <c r="N9" s="2">
        <f t="shared" ref="N9:N10" si="5">K9-L9-M9-R9</f>
        <v>891.49000000000069</v>
      </c>
      <c r="O9" s="2">
        <f t="shared" ref="O9:O10" si="6">SUM(L9:N9)</f>
        <v>3015.6600000000008</v>
      </c>
      <c r="P9" s="16">
        <f t="shared" ref="P9:P10" si="7">SUM(K9-O9)</f>
        <v>5276.79</v>
      </c>
      <c r="Q9" s="22"/>
      <c r="R9" s="46">
        <v>5276.79</v>
      </c>
    </row>
    <row r="10" spans="1:19" x14ac:dyDescent="0.25">
      <c r="A10" s="38">
        <v>4</v>
      </c>
      <c r="B10" s="47" t="s">
        <v>73</v>
      </c>
      <c r="C10" s="14">
        <v>4594.3599999999997</v>
      </c>
      <c r="D10" s="24"/>
      <c r="E10" s="24"/>
      <c r="F10" s="24"/>
      <c r="G10" s="24"/>
      <c r="H10" s="24"/>
      <c r="I10" s="27"/>
      <c r="J10" s="27"/>
      <c r="K10" s="12">
        <f t="shared" si="4"/>
        <v>4594.3599999999997</v>
      </c>
      <c r="L10" s="3">
        <v>272.72000000000003</v>
      </c>
      <c r="M10" s="3">
        <v>452.79</v>
      </c>
      <c r="N10" s="2">
        <f t="shared" si="5"/>
        <v>8.3499999999994543</v>
      </c>
      <c r="O10" s="2">
        <f t="shared" si="6"/>
        <v>733.85999999999945</v>
      </c>
      <c r="P10" s="16">
        <f t="shared" si="7"/>
        <v>3860.5</v>
      </c>
      <c r="Q10" s="22"/>
      <c r="R10" s="46">
        <v>3860.5</v>
      </c>
    </row>
    <row r="11" spans="1:19" x14ac:dyDescent="0.25">
      <c r="A11" s="38">
        <v>5</v>
      </c>
      <c r="B11" s="47" t="s">
        <v>1</v>
      </c>
      <c r="C11" s="14">
        <v>5033.96</v>
      </c>
      <c r="D11" s="24"/>
      <c r="E11" s="24"/>
      <c r="F11" s="24"/>
      <c r="G11" s="24"/>
      <c r="H11" s="24"/>
      <c r="I11" s="27"/>
      <c r="J11" s="27"/>
      <c r="K11" s="12">
        <f t="shared" si="0"/>
        <v>5033.96</v>
      </c>
      <c r="L11" s="3">
        <v>376.47</v>
      </c>
      <c r="M11" s="3">
        <v>514.33000000000004</v>
      </c>
      <c r="N11" s="2">
        <f t="shared" si="3"/>
        <v>555.29999999999973</v>
      </c>
      <c r="O11" s="2">
        <f t="shared" si="1"/>
        <v>1446.1</v>
      </c>
      <c r="P11" s="16">
        <f>SUM(K11-O11)+H11</f>
        <v>3587.86</v>
      </c>
      <c r="Q11" s="22"/>
      <c r="R11" s="46">
        <v>3587.86</v>
      </c>
      <c r="S11" s="1"/>
    </row>
    <row r="12" spans="1:19" x14ac:dyDescent="0.25">
      <c r="A12" s="38">
        <v>6</v>
      </c>
      <c r="B12" s="47" t="s">
        <v>2</v>
      </c>
      <c r="C12" s="14">
        <v>6467.15</v>
      </c>
      <c r="D12" s="24"/>
      <c r="E12" s="24"/>
      <c r="F12" s="24"/>
      <c r="G12" s="24"/>
      <c r="H12" s="24"/>
      <c r="I12" s="27"/>
      <c r="J12" s="27"/>
      <c r="K12" s="12">
        <f t="shared" si="0"/>
        <v>6467.15</v>
      </c>
      <c r="L12" s="3">
        <v>748.72</v>
      </c>
      <c r="M12" s="3">
        <v>714.98</v>
      </c>
      <c r="N12" s="2">
        <f t="shared" si="3"/>
        <v>1421.7499999999991</v>
      </c>
      <c r="O12" s="2">
        <f t="shared" si="1"/>
        <v>2885.4499999999989</v>
      </c>
      <c r="P12" s="16">
        <f t="shared" si="2"/>
        <v>3581.7000000000007</v>
      </c>
      <c r="Q12" s="22"/>
      <c r="R12" s="46">
        <v>3581.7</v>
      </c>
    </row>
    <row r="13" spans="1:19" x14ac:dyDescent="0.25">
      <c r="A13" s="38">
        <v>7</v>
      </c>
      <c r="B13" s="47" t="s">
        <v>69</v>
      </c>
      <c r="C13" s="14">
        <f>6644.59+318.94</f>
        <v>6963.53</v>
      </c>
      <c r="D13" s="24">
        <v>1328.92</v>
      </c>
      <c r="E13" s="24"/>
      <c r="F13" s="24"/>
      <c r="G13" s="24"/>
      <c r="H13" s="24"/>
      <c r="I13" s="27"/>
      <c r="J13" s="27"/>
      <c r="K13" s="12">
        <f t="shared" si="0"/>
        <v>8292.4500000000007</v>
      </c>
      <c r="L13" s="3">
        <v>1184.3599999999999</v>
      </c>
      <c r="M13" s="3">
        <f>595.78+355.84</f>
        <v>951.61999999999989</v>
      </c>
      <c r="N13" s="2">
        <f t="shared" si="3"/>
        <v>183.84000000000106</v>
      </c>
      <c r="O13" s="2">
        <f t="shared" si="1"/>
        <v>2319.8200000000006</v>
      </c>
      <c r="P13" s="16">
        <f t="shared" si="2"/>
        <v>5972.63</v>
      </c>
      <c r="Q13" s="22"/>
      <c r="R13" s="46">
        <v>5972.63</v>
      </c>
    </row>
    <row r="14" spans="1:19" x14ac:dyDescent="0.25">
      <c r="A14" s="38">
        <v>8</v>
      </c>
      <c r="B14" s="47" t="s">
        <v>3</v>
      </c>
      <c r="C14" s="14">
        <f>17418.44+9144.68</f>
        <v>26563.119999999999</v>
      </c>
      <c r="D14" s="24">
        <f>1741.84+6967.38</f>
        <v>8709.2199999999993</v>
      </c>
      <c r="E14" s="24"/>
      <c r="F14" s="24"/>
      <c r="G14" s="24"/>
      <c r="H14" s="24"/>
      <c r="I14" s="27"/>
      <c r="J14" s="27"/>
      <c r="K14" s="12">
        <f t="shared" si="0"/>
        <v>35272.339999999997</v>
      </c>
      <c r="L14" s="3">
        <v>9008.93</v>
      </c>
      <c r="M14" s="3">
        <v>951.62</v>
      </c>
      <c r="N14" s="2">
        <f>K14-L14-M14-R14</f>
        <v>95.219999999997526</v>
      </c>
      <c r="O14" s="2">
        <f t="shared" si="1"/>
        <v>10055.769999999999</v>
      </c>
      <c r="P14" s="16">
        <f t="shared" si="2"/>
        <v>25216.57</v>
      </c>
      <c r="Q14" s="22"/>
      <c r="R14" s="46">
        <v>25216.57</v>
      </c>
    </row>
    <row r="15" spans="1:19" x14ac:dyDescent="0.25">
      <c r="A15" s="38">
        <v>9</v>
      </c>
      <c r="B15" s="47" t="s">
        <v>4</v>
      </c>
      <c r="C15" s="14">
        <f>14371.64+5231.27</f>
        <v>19602.91</v>
      </c>
      <c r="D15" s="24">
        <v>5748.66</v>
      </c>
      <c r="E15" s="24"/>
      <c r="F15" s="42">
        <f>4819.69+1606.56+250.62+83.54</f>
        <v>6760.41</v>
      </c>
      <c r="G15" s="24">
        <f>9639.38+3213.13+501.25+167.08</f>
        <v>13520.839999999998</v>
      </c>
      <c r="H15" s="24"/>
      <c r="I15" s="27"/>
      <c r="J15" s="27"/>
      <c r="K15" s="12">
        <f t="shared" ref="K15:K30" si="8">SUM(C15:I15)</f>
        <v>45632.82</v>
      </c>
      <c r="L15" s="3">
        <v>6401.39</v>
      </c>
      <c r="M15" s="3">
        <v>951.62</v>
      </c>
      <c r="N15" s="2">
        <f t="shared" ref="N15:N41" si="9">K15-L15-M15-R15</f>
        <v>19438.919999999998</v>
      </c>
      <c r="O15" s="2">
        <f t="shared" si="1"/>
        <v>26791.93</v>
      </c>
      <c r="P15" s="16">
        <f t="shared" si="2"/>
        <v>18840.89</v>
      </c>
      <c r="Q15" s="22"/>
      <c r="R15" s="46">
        <v>18840.89</v>
      </c>
    </row>
    <row r="16" spans="1:19" x14ac:dyDescent="0.25">
      <c r="A16" s="38">
        <v>10</v>
      </c>
      <c r="B16" s="47" t="s">
        <v>5</v>
      </c>
      <c r="C16" s="14">
        <f>2204.83+364.6</f>
        <v>2569.4299999999998</v>
      </c>
      <c r="D16" s="24">
        <v>833.51</v>
      </c>
      <c r="E16" s="24"/>
      <c r="F16" s="24">
        <f>3234.73+1078.24+168.21+56.07</f>
        <v>4537.25</v>
      </c>
      <c r="G16" s="24">
        <f>2156.49+718.83+112.13+37.38</f>
        <v>3024.83</v>
      </c>
      <c r="H16" s="24">
        <f>3234.73</f>
        <v>3234.73</v>
      </c>
      <c r="I16" s="27"/>
      <c r="J16" s="27"/>
      <c r="K16" s="12">
        <f t="shared" si="8"/>
        <v>14199.75</v>
      </c>
      <c r="L16" s="3">
        <f>109.3+180.79</f>
        <v>290.08999999999997</v>
      </c>
      <c r="M16" s="3">
        <f>491.13+413.39</f>
        <v>904.52</v>
      </c>
      <c r="N16" s="2">
        <f t="shared" si="9"/>
        <v>9894.17</v>
      </c>
      <c r="O16" s="2">
        <f t="shared" si="1"/>
        <v>11088.78</v>
      </c>
      <c r="P16" s="16">
        <f t="shared" si="2"/>
        <v>3110.9699999999993</v>
      </c>
      <c r="Q16" s="22"/>
      <c r="R16" s="46">
        <v>3110.97</v>
      </c>
    </row>
    <row r="17" spans="1:18" x14ac:dyDescent="0.25">
      <c r="A17" s="38">
        <v>11</v>
      </c>
      <c r="B17" s="47" t="s">
        <v>6</v>
      </c>
      <c r="C17" s="14">
        <v>4545.2299999999996</v>
      </c>
      <c r="D17" s="24"/>
      <c r="E17" s="24"/>
      <c r="F17" s="24"/>
      <c r="G17" s="24"/>
      <c r="H17" s="24"/>
      <c r="I17" s="27"/>
      <c r="J17" s="27"/>
      <c r="K17" s="12">
        <f t="shared" si="8"/>
        <v>4545.2299999999996</v>
      </c>
      <c r="L17" s="3">
        <v>272.35000000000002</v>
      </c>
      <c r="M17" s="3">
        <v>445.91</v>
      </c>
      <c r="N17" s="2">
        <f t="shared" si="9"/>
        <v>448.25999999999931</v>
      </c>
      <c r="O17" s="2">
        <f t="shared" si="1"/>
        <v>1166.5199999999993</v>
      </c>
      <c r="P17" s="16">
        <f t="shared" si="2"/>
        <v>3378.71</v>
      </c>
      <c r="Q17" s="22"/>
      <c r="R17" s="46">
        <v>3378.71</v>
      </c>
    </row>
    <row r="18" spans="1:18" x14ac:dyDescent="0.25">
      <c r="A18" s="38">
        <v>12</v>
      </c>
      <c r="B18" s="47" t="s">
        <v>7</v>
      </c>
      <c r="C18" s="14">
        <f>8027.39+2234.41</f>
        <v>10261.799999999999</v>
      </c>
      <c r="D18" s="24">
        <v>4385.9799999999996</v>
      </c>
      <c r="E18" s="24"/>
      <c r="F18" s="24"/>
      <c r="G18" s="24"/>
      <c r="H18" s="24"/>
      <c r="I18" s="27"/>
      <c r="J18" s="27"/>
      <c r="K18" s="12">
        <f t="shared" si="8"/>
        <v>14647.779999999999</v>
      </c>
      <c r="L18" s="3">
        <v>2900.41</v>
      </c>
      <c r="M18" s="3">
        <v>951.62</v>
      </c>
      <c r="N18" s="2">
        <f t="shared" si="9"/>
        <v>720.97999999999774</v>
      </c>
      <c r="O18" s="2">
        <f t="shared" si="1"/>
        <v>4573.0099999999975</v>
      </c>
      <c r="P18" s="16">
        <f t="shared" si="2"/>
        <v>10074.77</v>
      </c>
      <c r="Q18" s="22"/>
      <c r="R18" s="46">
        <v>10074.77</v>
      </c>
    </row>
    <row r="19" spans="1:18" x14ac:dyDescent="0.25">
      <c r="A19" s="38">
        <v>13</v>
      </c>
      <c r="B19" s="47" t="s">
        <v>77</v>
      </c>
      <c r="C19" s="14">
        <f>2336.18+46.73</f>
        <v>2382.91</v>
      </c>
      <c r="D19" s="24"/>
      <c r="E19" s="24"/>
      <c r="F19" s="24">
        <f>970.76+323.59</f>
        <v>1294.3499999999999</v>
      </c>
      <c r="G19" s="24"/>
      <c r="H19" s="24"/>
      <c r="I19" s="27"/>
      <c r="J19" s="27"/>
      <c r="K19" s="12">
        <f t="shared" ref="K19" si="10">SUM(C19:I19)</f>
        <v>3677.2599999999998</v>
      </c>
      <c r="L19" s="3"/>
      <c r="M19" s="3">
        <f>229.57+105.1</f>
        <v>334.66999999999996</v>
      </c>
      <c r="N19" s="2">
        <f t="shared" ref="N19" si="11">K19-L19-M19-R19</f>
        <v>1197.5999999999999</v>
      </c>
      <c r="O19" s="2">
        <f t="shared" ref="O19" si="12">SUM(L19:N19)</f>
        <v>1532.27</v>
      </c>
      <c r="P19" s="16">
        <f t="shared" ref="P19" si="13">SUM(K19-O19)</f>
        <v>2144.9899999999998</v>
      </c>
      <c r="Q19" s="22"/>
      <c r="R19" s="46">
        <v>2144.9899999999998</v>
      </c>
    </row>
    <row r="20" spans="1:18" x14ac:dyDescent="0.25">
      <c r="A20" s="38">
        <v>14</v>
      </c>
      <c r="B20" s="47" t="s">
        <v>8</v>
      </c>
      <c r="C20" s="14">
        <v>4741.07</v>
      </c>
      <c r="D20" s="24"/>
      <c r="E20" s="24"/>
      <c r="F20" s="24"/>
      <c r="G20" s="24"/>
      <c r="H20" s="24"/>
      <c r="I20" s="27"/>
      <c r="J20" s="27"/>
      <c r="K20" s="12">
        <f t="shared" si="8"/>
        <v>4741.07</v>
      </c>
      <c r="L20" s="3">
        <v>307.36</v>
      </c>
      <c r="M20" s="3">
        <v>473.33</v>
      </c>
      <c r="N20" s="2">
        <f t="shared" si="9"/>
        <v>8.3499999999999091</v>
      </c>
      <c r="O20" s="2">
        <f t="shared" si="1"/>
        <v>789.04</v>
      </c>
      <c r="P20" s="16">
        <f t="shared" si="2"/>
        <v>3952.0299999999997</v>
      </c>
      <c r="Q20" s="22"/>
      <c r="R20" s="46">
        <v>3952.03</v>
      </c>
    </row>
    <row r="21" spans="1:18" x14ac:dyDescent="0.25">
      <c r="A21" s="38">
        <v>15</v>
      </c>
      <c r="B21" s="47" t="s">
        <v>81</v>
      </c>
      <c r="C21" s="14">
        <f>3753.56+37.53</f>
        <v>3791.09</v>
      </c>
      <c r="D21" s="24"/>
      <c r="E21" s="24"/>
      <c r="F21" s="24">
        <f>720.74+240.25+37.48+12.49</f>
        <v>1010.96</v>
      </c>
      <c r="G21" s="24">
        <f>1441.48+480.49+74.96+24.99</f>
        <v>2021.92</v>
      </c>
      <c r="H21" s="24"/>
      <c r="I21" s="27"/>
      <c r="J21" s="27"/>
      <c r="K21" s="12">
        <f t="shared" si="8"/>
        <v>6823.97</v>
      </c>
      <c r="L21" s="3">
        <v>115.8</v>
      </c>
      <c r="M21" s="3">
        <f>347.34+72.07</f>
        <v>419.40999999999997</v>
      </c>
      <c r="N21" s="2">
        <f t="shared" ref="N21" si="14">K21-L21-M21-R21</f>
        <v>2854.1800000000003</v>
      </c>
      <c r="O21" s="2">
        <f t="shared" ref="O21" si="15">SUM(L21:N21)</f>
        <v>3389.3900000000003</v>
      </c>
      <c r="P21" s="16">
        <f t="shared" ref="P21" si="16">SUM(K21-O21)</f>
        <v>3434.58</v>
      </c>
      <c r="Q21" s="22"/>
      <c r="R21" s="46">
        <v>3434.58</v>
      </c>
    </row>
    <row r="22" spans="1:18" x14ac:dyDescent="0.25">
      <c r="A22" s="38">
        <v>16</v>
      </c>
      <c r="B22" s="47" t="s">
        <v>9</v>
      </c>
      <c r="C22" s="14">
        <f>9620.4+6330.22</f>
        <v>15950.619999999999</v>
      </c>
      <c r="D22" s="24">
        <v>12987.54</v>
      </c>
      <c r="E22" s="24"/>
      <c r="F22" s="24">
        <f>27507.74+9169.25+1430.4+476.8</f>
        <v>38584.19000000001</v>
      </c>
      <c r="G22" s="24">
        <f>953.6+317.87</f>
        <v>1271.47</v>
      </c>
      <c r="H22" s="24"/>
      <c r="I22" s="27"/>
      <c r="J22" s="27"/>
      <c r="K22" s="12">
        <f t="shared" si="8"/>
        <v>68793.820000000007</v>
      </c>
      <c r="L22" s="3">
        <v>4408.46</v>
      </c>
      <c r="M22" s="3">
        <v>951.62</v>
      </c>
      <c r="N22" s="2">
        <f t="shared" si="9"/>
        <v>47767.750000000007</v>
      </c>
      <c r="O22" s="2">
        <f t="shared" si="1"/>
        <v>53127.830000000009</v>
      </c>
      <c r="P22" s="16">
        <f t="shared" si="2"/>
        <v>15665.989999999998</v>
      </c>
      <c r="Q22" s="22"/>
      <c r="R22" s="46">
        <v>15665.99</v>
      </c>
    </row>
    <row r="23" spans="1:18" x14ac:dyDescent="0.25">
      <c r="A23" s="38">
        <v>17</v>
      </c>
      <c r="B23" s="47" t="s">
        <v>10</v>
      </c>
      <c r="C23" s="14">
        <f>17418.44+6479.66</f>
        <v>23898.1</v>
      </c>
      <c r="D23" s="24">
        <v>3483.69</v>
      </c>
      <c r="E23" s="24"/>
      <c r="F23" s="24"/>
      <c r="G23" s="24"/>
      <c r="H23" s="24"/>
      <c r="I23" s="27"/>
      <c r="J23" s="27"/>
      <c r="K23" s="12">
        <f t="shared" si="8"/>
        <v>27381.789999999997</v>
      </c>
      <c r="L23" s="3">
        <v>6679.64</v>
      </c>
      <c r="M23" s="3">
        <v>951.62</v>
      </c>
      <c r="N23" s="2">
        <f t="shared" si="9"/>
        <v>906.93000000000029</v>
      </c>
      <c r="O23" s="2">
        <f t="shared" si="1"/>
        <v>8538.19</v>
      </c>
      <c r="P23" s="16">
        <f t="shared" si="2"/>
        <v>18843.599999999999</v>
      </c>
      <c r="Q23" s="22"/>
      <c r="R23" s="46">
        <v>18843.599999999999</v>
      </c>
    </row>
    <row r="24" spans="1:18" x14ac:dyDescent="0.25">
      <c r="A24" s="38">
        <v>18</v>
      </c>
      <c r="B24" s="47" t="s">
        <v>11</v>
      </c>
      <c r="C24" s="14">
        <v>10378.48</v>
      </c>
      <c r="D24" s="24"/>
      <c r="E24" s="24"/>
      <c r="F24" s="24"/>
      <c r="G24" s="24"/>
      <c r="H24" s="24"/>
      <c r="I24" s="27"/>
      <c r="J24" s="27"/>
      <c r="K24" s="12">
        <f t="shared" si="8"/>
        <v>10378.48</v>
      </c>
      <c r="L24" s="3">
        <v>1720.46</v>
      </c>
      <c r="M24" s="3">
        <f>778.64+172.98</f>
        <v>951.62</v>
      </c>
      <c r="N24" s="2">
        <f t="shared" si="9"/>
        <v>2193.2300000000005</v>
      </c>
      <c r="O24" s="2">
        <f t="shared" si="1"/>
        <v>4865.3100000000004</v>
      </c>
      <c r="P24" s="16">
        <f t="shared" si="2"/>
        <v>5513.1699999999992</v>
      </c>
      <c r="Q24" s="22"/>
      <c r="R24" s="46">
        <v>5513.17</v>
      </c>
    </row>
    <row r="25" spans="1:18" x14ac:dyDescent="0.25">
      <c r="A25" s="38">
        <v>19</v>
      </c>
      <c r="B25" s="47" t="s">
        <v>72</v>
      </c>
      <c r="C25" s="14">
        <f>17245.97+6415.5</f>
        <v>23661.47</v>
      </c>
      <c r="D25" s="24">
        <v>3449.19</v>
      </c>
      <c r="E25" s="24"/>
      <c r="F25" s="24"/>
      <c r="G25" s="24"/>
      <c r="H25" s="24"/>
      <c r="I25" s="27"/>
      <c r="J25" s="27"/>
      <c r="K25" s="12">
        <f t="shared" si="8"/>
        <v>27110.66</v>
      </c>
      <c r="L25" s="3">
        <v>6613.29</v>
      </c>
      <c r="M25" s="3">
        <v>951.62</v>
      </c>
      <c r="N25" s="2">
        <f t="shared" si="9"/>
        <v>6650.8700000000008</v>
      </c>
      <c r="O25" s="2">
        <f t="shared" si="1"/>
        <v>14215.78</v>
      </c>
      <c r="P25" s="16">
        <f t="shared" si="2"/>
        <v>12894.88</v>
      </c>
      <c r="Q25" s="22"/>
      <c r="R25" s="46">
        <v>12894.88</v>
      </c>
    </row>
    <row r="26" spans="1:18" x14ac:dyDescent="0.25">
      <c r="A26" s="38">
        <v>20</v>
      </c>
      <c r="B26" s="47" t="s">
        <v>12</v>
      </c>
      <c r="C26" s="14">
        <v>10950.52</v>
      </c>
      <c r="D26" s="24"/>
      <c r="E26" s="24"/>
      <c r="F26" s="24"/>
      <c r="G26" s="24"/>
      <c r="H26" s="24"/>
      <c r="I26" s="27"/>
      <c r="J26" s="27"/>
      <c r="K26" s="12">
        <f t="shared" si="8"/>
        <v>10950.52</v>
      </c>
      <c r="L26" s="3">
        <v>1937.68</v>
      </c>
      <c r="M26" s="3">
        <v>951.62</v>
      </c>
      <c r="N26" s="2">
        <f t="shared" si="9"/>
        <v>459.82999999999993</v>
      </c>
      <c r="O26" s="2">
        <f t="shared" si="1"/>
        <v>3349.13</v>
      </c>
      <c r="P26" s="16">
        <f>SUM(K26-O26)+H26</f>
        <v>7601.39</v>
      </c>
      <c r="Q26" s="22"/>
      <c r="R26" s="46">
        <v>7601.39</v>
      </c>
    </row>
    <row r="27" spans="1:18" x14ac:dyDescent="0.25">
      <c r="A27" s="38">
        <v>21</v>
      </c>
      <c r="B27" s="47" t="s">
        <v>13</v>
      </c>
      <c r="C27" s="14">
        <v>11729.61</v>
      </c>
      <c r="D27" s="24"/>
      <c r="E27" s="24"/>
      <c r="F27" s="24"/>
      <c r="G27" s="24"/>
      <c r="H27" s="24"/>
      <c r="I27" s="27"/>
      <c r="J27" s="27"/>
      <c r="K27" s="12">
        <f t="shared" si="8"/>
        <v>11729.61</v>
      </c>
      <c r="L27" s="3">
        <v>2214.66</v>
      </c>
      <c r="M27" s="3">
        <v>951.62</v>
      </c>
      <c r="N27" s="2">
        <f t="shared" si="9"/>
        <v>8.3500000000003638</v>
      </c>
      <c r="O27" s="2">
        <f t="shared" si="1"/>
        <v>3174.63</v>
      </c>
      <c r="P27" s="16">
        <f t="shared" si="2"/>
        <v>8554.98</v>
      </c>
      <c r="Q27" s="22"/>
      <c r="R27" s="46">
        <v>8554.98</v>
      </c>
    </row>
    <row r="28" spans="1:18" x14ac:dyDescent="0.25">
      <c r="A28" s="38">
        <v>22</v>
      </c>
      <c r="B28" s="47" t="s">
        <v>14</v>
      </c>
      <c r="C28" s="14">
        <f>7162.81+2207.46</f>
        <v>9370.27</v>
      </c>
      <c r="D28" s="24">
        <v>1667.01</v>
      </c>
      <c r="E28" s="24"/>
      <c r="F28" s="24"/>
      <c r="G28" s="24"/>
      <c r="H28" s="27"/>
      <c r="I28" s="27"/>
      <c r="J28" s="27"/>
      <c r="K28" s="12">
        <f t="shared" si="8"/>
        <v>11037.28</v>
      </c>
      <c r="L28" s="3">
        <v>1910.59</v>
      </c>
      <c r="M28" s="3">
        <v>951.62</v>
      </c>
      <c r="N28" s="2">
        <f t="shared" si="9"/>
        <v>770.14000000000033</v>
      </c>
      <c r="O28" s="2">
        <f t="shared" si="1"/>
        <v>3632.3500000000004</v>
      </c>
      <c r="P28" s="16">
        <f t="shared" si="2"/>
        <v>7404.93</v>
      </c>
      <c r="Q28" s="22"/>
      <c r="R28" s="46">
        <v>7404.93</v>
      </c>
    </row>
    <row r="29" spans="1:18" x14ac:dyDescent="0.25">
      <c r="A29" s="38">
        <v>23</v>
      </c>
      <c r="B29" s="47" t="s">
        <v>79</v>
      </c>
      <c r="C29" s="14">
        <v>4549.3100000000004</v>
      </c>
      <c r="D29" s="24"/>
      <c r="E29" s="24"/>
      <c r="F29" s="24"/>
      <c r="G29" s="24"/>
      <c r="H29" s="24"/>
      <c r="I29" s="27"/>
      <c r="J29" s="27"/>
      <c r="K29" s="12">
        <f t="shared" ref="K29" si="17">SUM(C29:I29)</f>
        <v>4549.3100000000004</v>
      </c>
      <c r="L29" s="3">
        <v>297.04000000000002</v>
      </c>
      <c r="M29" s="3">
        <v>461.93</v>
      </c>
      <c r="N29" s="2">
        <f t="shared" ref="N29" si="18">K29-L29-M29-R29</f>
        <v>8.3500000000008185</v>
      </c>
      <c r="O29" s="2">
        <f t="shared" ref="O29" si="19">SUM(L29:N29)</f>
        <v>767.32000000000085</v>
      </c>
      <c r="P29" s="16">
        <f t="shared" ref="P29" si="20">SUM(K29-O29)</f>
        <v>3781.99</v>
      </c>
      <c r="Q29" s="22"/>
      <c r="R29" s="46">
        <v>3781.99</v>
      </c>
    </row>
    <row r="30" spans="1:18" x14ac:dyDescent="0.25">
      <c r="A30" s="38">
        <v>24</v>
      </c>
      <c r="B30" s="47" t="s">
        <v>15</v>
      </c>
      <c r="C30" s="14">
        <f>2529.29+885.25</f>
        <v>3414.54</v>
      </c>
      <c r="D30" s="24"/>
      <c r="E30" s="24"/>
      <c r="F30" s="24">
        <f>6491.51+2163.84+337.56+112.52</f>
        <v>9105.43</v>
      </c>
      <c r="G30" s="24">
        <f>3245.76+1081.92+168.78+56.26</f>
        <v>4552.72</v>
      </c>
      <c r="H30" s="24"/>
      <c r="I30" s="27"/>
      <c r="J30" s="27"/>
      <c r="K30" s="12">
        <f t="shared" si="8"/>
        <v>17072.690000000002</v>
      </c>
      <c r="L30" s="3">
        <f>171.36+1222.53</f>
        <v>1393.8899999999999</v>
      </c>
      <c r="M30" s="3">
        <v>951.62</v>
      </c>
      <c r="N30" s="2">
        <f t="shared" si="9"/>
        <v>11138.300000000003</v>
      </c>
      <c r="O30" s="2">
        <f t="shared" si="1"/>
        <v>13483.810000000003</v>
      </c>
      <c r="P30" s="16">
        <f t="shared" si="2"/>
        <v>3588.8799999999992</v>
      </c>
      <c r="Q30" s="22"/>
      <c r="R30" s="46">
        <v>3588.88</v>
      </c>
    </row>
    <row r="31" spans="1:18" x14ac:dyDescent="0.25">
      <c r="A31" s="38">
        <v>25</v>
      </c>
      <c r="B31" s="47" t="s">
        <v>56</v>
      </c>
      <c r="C31" s="14">
        <v>7668.21</v>
      </c>
      <c r="D31" s="24"/>
      <c r="E31" s="24"/>
      <c r="F31" s="24"/>
      <c r="G31" s="24"/>
      <c r="H31" s="24"/>
      <c r="I31" s="27"/>
      <c r="J31" s="27"/>
      <c r="K31" s="12">
        <f>SUM(C31:I31)</f>
        <v>7668.21</v>
      </c>
      <c r="L31" s="3">
        <v>1050.9000000000001</v>
      </c>
      <c r="M31" s="3">
        <v>908.9</v>
      </c>
      <c r="N31" s="2">
        <f t="shared" ref="N31" si="21">K31-L31-M31-R31</f>
        <v>43.289999999999964</v>
      </c>
      <c r="O31" s="2">
        <f t="shared" ref="O31" si="22">SUM(L31:N31)</f>
        <v>2003.0900000000001</v>
      </c>
      <c r="P31" s="16">
        <f>SUM(K31-O31)+H31</f>
        <v>5665.12</v>
      </c>
      <c r="Q31" s="22"/>
      <c r="R31" s="46">
        <v>5665.12</v>
      </c>
    </row>
    <row r="32" spans="1:18" x14ac:dyDescent="0.25">
      <c r="A32" s="38">
        <v>26</v>
      </c>
      <c r="B32" s="47" t="s">
        <v>16</v>
      </c>
      <c r="C32" s="14">
        <v>4327.1400000000003</v>
      </c>
      <c r="D32" s="24"/>
      <c r="E32" s="24"/>
      <c r="F32" s="24"/>
      <c r="G32" s="24"/>
      <c r="H32" s="24"/>
      <c r="I32" s="27"/>
      <c r="J32" s="27"/>
      <c r="K32" s="12">
        <f>SUM(C32:I32)</f>
        <v>4327.1400000000003</v>
      </c>
      <c r="L32" s="3">
        <v>212.29</v>
      </c>
      <c r="M32" s="3">
        <v>415.38</v>
      </c>
      <c r="N32" s="2">
        <f t="shared" si="9"/>
        <v>874.86000000000013</v>
      </c>
      <c r="O32" s="2">
        <f t="shared" si="1"/>
        <v>1502.5300000000002</v>
      </c>
      <c r="P32" s="16">
        <f>SUM(K32-O32)+H32</f>
        <v>2824.61</v>
      </c>
      <c r="Q32" s="22"/>
      <c r="R32" s="46">
        <v>2824.61</v>
      </c>
    </row>
    <row r="33" spans="1:18" x14ac:dyDescent="0.25">
      <c r="A33" s="38">
        <v>27</v>
      </c>
      <c r="B33" s="47" t="s">
        <v>82</v>
      </c>
      <c r="C33" s="14">
        <v>4549.3100000000004</v>
      </c>
      <c r="D33" s="24"/>
      <c r="E33" s="24"/>
      <c r="F33" s="24"/>
      <c r="G33" s="24"/>
      <c r="H33" s="24"/>
      <c r="I33" s="27"/>
      <c r="J33" s="27"/>
      <c r="K33" s="12">
        <f>SUM(C33:I33)</f>
        <v>4549.3100000000004</v>
      </c>
      <c r="L33" s="3">
        <v>262.69</v>
      </c>
      <c r="M33" s="3">
        <v>446.48</v>
      </c>
      <c r="N33" s="2">
        <f t="shared" ref="N33:N34" si="23">K33-L33-M33-R33</f>
        <v>43.290000000000873</v>
      </c>
      <c r="O33" s="2">
        <f t="shared" ref="O33:O34" si="24">SUM(L33:N33)</f>
        <v>752.46000000000095</v>
      </c>
      <c r="P33" s="16">
        <f>SUM(K33-O33)+H33</f>
        <v>3796.8499999999995</v>
      </c>
      <c r="Q33" s="22"/>
      <c r="R33" s="46">
        <v>3796.85</v>
      </c>
    </row>
    <row r="34" spans="1:18" x14ac:dyDescent="0.25">
      <c r="A34" s="38">
        <v>28</v>
      </c>
      <c r="B34" s="47" t="s">
        <v>83</v>
      </c>
      <c r="C34" s="14">
        <v>4504.2700000000004</v>
      </c>
      <c r="D34" s="24"/>
      <c r="E34" s="24"/>
      <c r="F34" s="24"/>
      <c r="G34" s="24"/>
      <c r="H34" s="24"/>
      <c r="I34" s="27"/>
      <c r="J34" s="27"/>
      <c r="K34" s="12">
        <f>SUM(C34:I34)</f>
        <v>4504.2700000000004</v>
      </c>
      <c r="L34" s="3">
        <v>251.44</v>
      </c>
      <c r="M34" s="3">
        <v>440.18</v>
      </c>
      <c r="N34" s="2">
        <f t="shared" si="23"/>
        <v>43.290000000000873</v>
      </c>
      <c r="O34" s="2">
        <f t="shared" si="24"/>
        <v>734.91000000000088</v>
      </c>
      <c r="P34" s="16">
        <f>SUM(K34-O34)+H34</f>
        <v>3769.3599999999997</v>
      </c>
      <c r="Q34" s="22"/>
      <c r="R34" s="46">
        <v>3769.36</v>
      </c>
    </row>
    <row r="35" spans="1:18" x14ac:dyDescent="0.25">
      <c r="A35" s="38">
        <v>29</v>
      </c>
      <c r="B35" s="47" t="s">
        <v>17</v>
      </c>
      <c r="C35" s="14">
        <f>8270.63+1587.96</f>
        <v>9858.59</v>
      </c>
      <c r="D35" s="24">
        <v>1654.13</v>
      </c>
      <c r="E35" s="24"/>
      <c r="F35" s="24"/>
      <c r="G35" s="24"/>
      <c r="H35" s="24"/>
      <c r="I35" s="27"/>
      <c r="J35" s="27"/>
      <c r="K35" s="12">
        <f>SUM(C35:I35)</f>
        <v>11512.720000000001</v>
      </c>
      <c r="L35" s="3">
        <v>2152.0700000000002</v>
      </c>
      <c r="M35" s="3">
        <v>951.62</v>
      </c>
      <c r="N35" s="2">
        <f t="shared" si="9"/>
        <v>68.290000000000873</v>
      </c>
      <c r="O35" s="2">
        <f t="shared" si="1"/>
        <v>3171.9800000000009</v>
      </c>
      <c r="P35" s="16">
        <f t="shared" si="2"/>
        <v>8340.74</v>
      </c>
      <c r="Q35" s="22"/>
      <c r="R35" s="46">
        <v>8340.74</v>
      </c>
    </row>
    <row r="36" spans="1:18" x14ac:dyDescent="0.25">
      <c r="A36" s="38">
        <v>30</v>
      </c>
      <c r="B36" s="47" t="s">
        <v>18</v>
      </c>
      <c r="C36" s="14">
        <f>17245.97+5794.64</f>
        <v>23040.61</v>
      </c>
      <c r="D36" s="24">
        <v>3449.19</v>
      </c>
      <c r="E36" s="24"/>
      <c r="F36" s="24"/>
      <c r="G36" s="24"/>
      <c r="H36" s="24"/>
      <c r="I36" s="27"/>
      <c r="J36" s="27"/>
      <c r="K36" s="12">
        <f t="shared" ref="K36:K41" si="25">SUM(C36:I36)</f>
        <v>26489.8</v>
      </c>
      <c r="L36" s="3">
        <v>6474.35</v>
      </c>
      <c r="M36" s="3">
        <v>951.62</v>
      </c>
      <c r="N36" s="2">
        <f t="shared" si="9"/>
        <v>258.81999999999971</v>
      </c>
      <c r="O36" s="2">
        <f t="shared" si="1"/>
        <v>7684.79</v>
      </c>
      <c r="P36" s="16">
        <f t="shared" si="2"/>
        <v>18805.009999999998</v>
      </c>
      <c r="Q36" s="22"/>
      <c r="R36" s="46">
        <v>18805.009999999998</v>
      </c>
    </row>
    <row r="37" spans="1:18" x14ac:dyDescent="0.25">
      <c r="A37" s="38">
        <v>32</v>
      </c>
      <c r="B37" s="47" t="s">
        <v>57</v>
      </c>
      <c r="C37" s="14">
        <f>7714.17+1388.55</f>
        <v>9102.7199999999993</v>
      </c>
      <c r="D37" s="24">
        <v>1542.83</v>
      </c>
      <c r="E37" s="24"/>
      <c r="F37" s="24"/>
      <c r="G37" s="24"/>
      <c r="H37" s="24"/>
      <c r="I37" s="27"/>
      <c r="J37" s="27"/>
      <c r="K37" s="12">
        <f t="shared" si="25"/>
        <v>10645.55</v>
      </c>
      <c r="L37" s="3">
        <v>1911.66</v>
      </c>
      <c r="M37" s="3">
        <v>951.62</v>
      </c>
      <c r="N37" s="2">
        <f t="shared" si="9"/>
        <v>1771.5199999999995</v>
      </c>
      <c r="O37" s="2">
        <f t="shared" si="1"/>
        <v>4634.7999999999993</v>
      </c>
      <c r="P37" s="16">
        <f t="shared" si="2"/>
        <v>6010.75</v>
      </c>
      <c r="Q37" s="22"/>
      <c r="R37" s="46">
        <v>6010.75</v>
      </c>
    </row>
    <row r="38" spans="1:18" x14ac:dyDescent="0.25">
      <c r="A38" s="38">
        <v>33</v>
      </c>
      <c r="B38" s="47" t="s">
        <v>19</v>
      </c>
      <c r="C38" s="14">
        <f>7413.16+1098.19</f>
        <v>8511.35</v>
      </c>
      <c r="D38" s="24">
        <f>1482.63+1087.77</f>
        <v>2570.4</v>
      </c>
      <c r="E38" s="24"/>
      <c r="F38" s="24"/>
      <c r="G38" s="24"/>
      <c r="H38" s="24"/>
      <c r="I38" s="27"/>
      <c r="J38" s="27"/>
      <c r="K38" s="12">
        <f t="shared" si="25"/>
        <v>11081.75</v>
      </c>
      <c r="L38" s="3">
        <v>1923.42</v>
      </c>
      <c r="M38" s="3">
        <v>951.62</v>
      </c>
      <c r="N38" s="2">
        <f t="shared" si="9"/>
        <v>2998.7599999999993</v>
      </c>
      <c r="O38" s="2">
        <f t="shared" si="1"/>
        <v>5873.7999999999993</v>
      </c>
      <c r="P38" s="16">
        <f>SUM(K38-O38)+H38</f>
        <v>5207.9500000000007</v>
      </c>
      <c r="Q38" s="22"/>
      <c r="R38" s="46">
        <v>5207.95</v>
      </c>
    </row>
    <row r="39" spans="1:18" x14ac:dyDescent="0.25">
      <c r="A39" s="38">
        <v>34</v>
      </c>
      <c r="B39" s="47" t="s">
        <v>54</v>
      </c>
      <c r="C39" s="14">
        <f>2168.35+151.78</f>
        <v>2320.13</v>
      </c>
      <c r="D39" s="24"/>
      <c r="E39" s="24"/>
      <c r="F39" s="24">
        <f>1546.75+515.58</f>
        <v>2062.33</v>
      </c>
      <c r="G39" s="24"/>
      <c r="H39" s="24"/>
      <c r="I39" s="27"/>
      <c r="J39" s="27"/>
      <c r="K39" s="12">
        <f t="shared" si="25"/>
        <v>4382.46</v>
      </c>
      <c r="L39" s="3"/>
      <c r="M39" s="3">
        <f>260.29+162.83</f>
        <v>423.12</v>
      </c>
      <c r="N39" s="2">
        <f t="shared" ref="N39" si="26">K39-L39-M39-R39</f>
        <v>1924.92</v>
      </c>
      <c r="O39" s="2">
        <f t="shared" ref="O39" si="27">SUM(L39:N39)</f>
        <v>2348.04</v>
      </c>
      <c r="P39" s="16">
        <f t="shared" ref="P39" si="28">SUM(K39-O39)</f>
        <v>2034.42</v>
      </c>
      <c r="Q39" s="22"/>
      <c r="R39" s="46">
        <v>2034.42</v>
      </c>
    </row>
    <row r="40" spans="1:18" x14ac:dyDescent="0.25">
      <c r="A40" s="38">
        <v>35</v>
      </c>
      <c r="B40" s="47" t="s">
        <v>20</v>
      </c>
      <c r="C40" s="14">
        <f>5909.88-271.94</f>
        <v>5637.9400000000005</v>
      </c>
      <c r="D40" s="24">
        <v>271.94</v>
      </c>
      <c r="E40" s="24"/>
      <c r="F40" s="24"/>
      <c r="G40" s="24"/>
      <c r="H40" s="24"/>
      <c r="I40" s="27"/>
      <c r="J40" s="27"/>
      <c r="K40" s="12">
        <f t="shared" si="25"/>
        <v>5909.88</v>
      </c>
      <c r="L40" s="3">
        <v>613.46</v>
      </c>
      <c r="M40" s="3">
        <v>636.96</v>
      </c>
      <c r="N40" s="2">
        <f t="shared" si="9"/>
        <v>311.0600000000004</v>
      </c>
      <c r="O40" s="2">
        <f t="shared" si="1"/>
        <v>1561.4800000000005</v>
      </c>
      <c r="P40" s="16">
        <f t="shared" si="2"/>
        <v>4348.3999999999996</v>
      </c>
      <c r="Q40" s="22"/>
      <c r="R40" s="46">
        <v>4348.3999999999996</v>
      </c>
    </row>
    <row r="41" spans="1:18" x14ac:dyDescent="0.25">
      <c r="A41" s="38">
        <v>36</v>
      </c>
      <c r="B41" s="47" t="s">
        <v>21</v>
      </c>
      <c r="C41" s="14">
        <f>18306.95+6590.5</f>
        <v>24897.45</v>
      </c>
      <c r="D41" s="24">
        <v>3661.39</v>
      </c>
      <c r="E41" s="24"/>
      <c r="F41" s="24"/>
      <c r="G41" s="24"/>
      <c r="H41" s="24"/>
      <c r="I41" s="27"/>
      <c r="J41" s="27"/>
      <c r="K41" s="12">
        <f t="shared" si="25"/>
        <v>28558.84</v>
      </c>
      <c r="L41" s="3">
        <v>6967.18</v>
      </c>
      <c r="M41" s="3">
        <v>951.62</v>
      </c>
      <c r="N41" s="2">
        <f t="shared" si="9"/>
        <v>101.18000000000029</v>
      </c>
      <c r="O41" s="2">
        <f t="shared" si="1"/>
        <v>8019.9800000000005</v>
      </c>
      <c r="P41" s="16">
        <f t="shared" si="2"/>
        <v>20538.86</v>
      </c>
      <c r="Q41" s="22"/>
      <c r="R41" s="46">
        <v>20538.86</v>
      </c>
    </row>
    <row r="42" spans="1:18" x14ac:dyDescent="0.25">
      <c r="A42" s="38">
        <v>37</v>
      </c>
      <c r="B42" s="48" t="s">
        <v>22</v>
      </c>
      <c r="C42" s="29">
        <v>4194.22</v>
      </c>
      <c r="D42" s="25"/>
      <c r="E42" s="25"/>
      <c r="F42" s="25"/>
      <c r="G42" s="24"/>
      <c r="H42" s="24"/>
      <c r="I42" s="27"/>
      <c r="J42" s="27"/>
      <c r="K42" s="30">
        <f t="shared" ref="K42:K51" si="29">SUM(C42:I42)</f>
        <v>4194.22</v>
      </c>
      <c r="L42" s="31">
        <v>178.24</v>
      </c>
      <c r="M42" s="31">
        <v>400.87</v>
      </c>
      <c r="N42" s="32">
        <f t="shared" ref="N42:N63" si="30">K42-L42-M42-R42</f>
        <v>315.5600000000004</v>
      </c>
      <c r="O42" s="32">
        <f t="shared" si="1"/>
        <v>894.67000000000041</v>
      </c>
      <c r="P42" s="33">
        <f t="shared" si="2"/>
        <v>3299.5499999999997</v>
      </c>
      <c r="Q42" s="22"/>
      <c r="R42" s="46">
        <v>3299.55</v>
      </c>
    </row>
    <row r="43" spans="1:18" x14ac:dyDescent="0.25">
      <c r="A43" s="38">
        <v>38</v>
      </c>
      <c r="B43" s="48" t="s">
        <v>74</v>
      </c>
      <c r="C43" s="29">
        <v>4780.8999999999996</v>
      </c>
      <c r="D43" s="25"/>
      <c r="E43" s="25"/>
      <c r="F43" s="25"/>
      <c r="G43" s="24"/>
      <c r="H43" s="24"/>
      <c r="I43" s="27"/>
      <c r="J43" s="27"/>
      <c r="K43" s="30">
        <f t="shared" ref="K43" si="31">SUM(C43:I43)</f>
        <v>4780.8999999999996</v>
      </c>
      <c r="L43" s="31">
        <v>348.8</v>
      </c>
      <c r="M43" s="31">
        <v>496.52</v>
      </c>
      <c r="N43" s="32">
        <f t="shared" ref="N43" si="32">K43-L43-M43-R43</f>
        <v>218.94999999999936</v>
      </c>
      <c r="O43" s="32">
        <f t="shared" ref="O43" si="33">SUM(L43:N43)</f>
        <v>1064.2699999999993</v>
      </c>
      <c r="P43" s="33">
        <f t="shared" ref="P43" si="34">SUM(K43-O43)</f>
        <v>3716.63</v>
      </c>
      <c r="Q43" s="22"/>
      <c r="R43" s="46">
        <v>3716.63</v>
      </c>
    </row>
    <row r="44" spans="1:18" x14ac:dyDescent="0.25">
      <c r="A44" s="38">
        <v>39</v>
      </c>
      <c r="B44" s="47" t="s">
        <v>23</v>
      </c>
      <c r="C44" s="14">
        <f>5826.44+1728.55</f>
        <v>7554.99</v>
      </c>
      <c r="D44" s="24">
        <v>1087.77</v>
      </c>
      <c r="E44" s="24"/>
      <c r="F44" s="24"/>
      <c r="G44" s="24"/>
      <c r="H44" s="24"/>
      <c r="I44" s="27"/>
      <c r="J44" s="27"/>
      <c r="K44" s="12">
        <f t="shared" si="29"/>
        <v>8642.76</v>
      </c>
      <c r="L44" s="3">
        <v>1323.82</v>
      </c>
      <c r="M44" s="3">
        <v>951.62</v>
      </c>
      <c r="N44" s="2">
        <f t="shared" si="30"/>
        <v>860.95000000000073</v>
      </c>
      <c r="O44" s="2">
        <f t="shared" si="1"/>
        <v>3136.3900000000008</v>
      </c>
      <c r="P44" s="16">
        <f t="shared" si="2"/>
        <v>5506.369999999999</v>
      </c>
      <c r="Q44" s="22"/>
      <c r="R44" s="46">
        <v>5506.37</v>
      </c>
    </row>
    <row r="45" spans="1:18" x14ac:dyDescent="0.25">
      <c r="A45" s="38">
        <v>40</v>
      </c>
      <c r="B45" s="47" t="s">
        <v>24</v>
      </c>
      <c r="C45" s="14">
        <f>11789.52+2122.11</f>
        <v>13911.630000000001</v>
      </c>
      <c r="D45" s="24"/>
      <c r="E45" s="24"/>
      <c r="F45" s="24"/>
      <c r="G45" s="24"/>
      <c r="H45" s="24"/>
      <c r="I45" s="27">
        <v>2247.83</v>
      </c>
      <c r="J45" s="27"/>
      <c r="K45" s="12">
        <f t="shared" si="29"/>
        <v>16159.460000000001</v>
      </c>
      <c r="L45" s="3">
        <v>3410.39</v>
      </c>
      <c r="M45" s="3">
        <v>951.62</v>
      </c>
      <c r="N45" s="2">
        <f t="shared" si="30"/>
        <v>889.43000000000029</v>
      </c>
      <c r="O45" s="2">
        <f t="shared" si="1"/>
        <v>5251.4400000000005</v>
      </c>
      <c r="P45" s="16">
        <f t="shared" si="2"/>
        <v>10908.02</v>
      </c>
      <c r="Q45" s="22"/>
      <c r="R45" s="46">
        <v>10908.02</v>
      </c>
    </row>
    <row r="46" spans="1:18" x14ac:dyDescent="0.25">
      <c r="A46" s="38">
        <v>41</v>
      </c>
      <c r="B46" s="47" t="s">
        <v>25</v>
      </c>
      <c r="C46" s="14">
        <f>8394.38+4481.26</f>
        <v>12875.64</v>
      </c>
      <c r="D46" s="24">
        <v>7610.13</v>
      </c>
      <c r="E46" s="24"/>
      <c r="F46" s="24"/>
      <c r="G46" s="24"/>
      <c r="H46" s="24"/>
      <c r="I46" s="27"/>
      <c r="J46" s="27"/>
      <c r="K46" s="12">
        <f t="shared" si="29"/>
        <v>20485.77</v>
      </c>
      <c r="L46" s="3">
        <v>4743.67</v>
      </c>
      <c r="M46" s="3">
        <f>536.21+415.41</f>
        <v>951.62000000000012</v>
      </c>
      <c r="N46" s="2">
        <f>K46-L46-M46-R46</f>
        <v>1266.869999999999</v>
      </c>
      <c r="O46" s="2">
        <f>SUM(L46:N46)</f>
        <v>6962.1599999999989</v>
      </c>
      <c r="P46" s="16">
        <f t="shared" si="2"/>
        <v>13523.61</v>
      </c>
      <c r="Q46" s="22"/>
      <c r="R46" s="46">
        <v>13523.61</v>
      </c>
    </row>
    <row r="47" spans="1:18" x14ac:dyDescent="0.25">
      <c r="A47" s="38">
        <v>42</v>
      </c>
      <c r="B47" s="47" t="s">
        <v>26</v>
      </c>
      <c r="C47" s="14">
        <f>8107.67+1751.26</f>
        <v>9858.93</v>
      </c>
      <c r="D47" s="24">
        <v>1621.53</v>
      </c>
      <c r="E47" s="24"/>
      <c r="F47" s="24"/>
      <c r="G47" s="24"/>
      <c r="H47" s="24"/>
      <c r="I47" s="27"/>
      <c r="J47" s="27"/>
      <c r="K47" s="12">
        <f t="shared" si="29"/>
        <v>11480.460000000001</v>
      </c>
      <c r="L47" s="3">
        <v>2038.48</v>
      </c>
      <c r="M47" s="3">
        <v>951.62</v>
      </c>
      <c r="N47" s="2">
        <f t="shared" si="30"/>
        <v>614.47000000000025</v>
      </c>
      <c r="O47" s="2">
        <f t="shared" si="1"/>
        <v>3604.57</v>
      </c>
      <c r="P47" s="16">
        <f t="shared" si="2"/>
        <v>7875.8900000000012</v>
      </c>
      <c r="Q47" s="22"/>
      <c r="R47" s="46">
        <v>7875.89</v>
      </c>
    </row>
    <row r="48" spans="1:18" x14ac:dyDescent="0.25">
      <c r="A48" s="38">
        <v>43</v>
      </c>
      <c r="B48" s="47" t="s">
        <v>80</v>
      </c>
      <c r="C48" s="14">
        <f>3404.15</f>
        <v>3404.15</v>
      </c>
      <c r="D48" s="24"/>
      <c r="E48" s="24"/>
      <c r="F48" s="24"/>
      <c r="G48" s="24"/>
      <c r="H48" s="24"/>
      <c r="I48" s="27"/>
      <c r="J48" s="27"/>
      <c r="K48" s="12">
        <f t="shared" si="29"/>
        <v>3404.15</v>
      </c>
      <c r="L48" s="3">
        <v>50.62</v>
      </c>
      <c r="M48" s="3">
        <v>301.89999999999998</v>
      </c>
      <c r="N48" s="2">
        <f t="shared" ref="N48" si="35">K48-L48-M48-R48</f>
        <v>56.230000000000018</v>
      </c>
      <c r="O48" s="2">
        <f t="shared" ref="O48" si="36">SUM(L48:N48)</f>
        <v>408.75</v>
      </c>
      <c r="P48" s="16">
        <f t="shared" ref="P48" si="37">SUM(K48-O48)</f>
        <v>2995.4</v>
      </c>
      <c r="Q48" s="22"/>
      <c r="R48" s="46">
        <v>2995.4</v>
      </c>
    </row>
    <row r="49" spans="1:18" x14ac:dyDescent="0.25">
      <c r="A49" s="38">
        <v>44</v>
      </c>
      <c r="B49" s="47" t="s">
        <v>27</v>
      </c>
      <c r="C49" s="14">
        <v>11328.11</v>
      </c>
      <c r="D49" s="24"/>
      <c r="E49" s="24"/>
      <c r="F49" s="24"/>
      <c r="G49" s="24"/>
      <c r="H49" s="24"/>
      <c r="I49" s="27"/>
      <c r="J49" s="27"/>
      <c r="K49" s="12">
        <f t="shared" si="29"/>
        <v>11328.11</v>
      </c>
      <c r="L49" s="3">
        <v>2054.65</v>
      </c>
      <c r="M49" s="3">
        <f>786.85+164.77</f>
        <v>951.62</v>
      </c>
      <c r="N49" s="2">
        <f t="shared" si="30"/>
        <v>2108.0299999999997</v>
      </c>
      <c r="O49" s="2">
        <f t="shared" si="1"/>
        <v>5114.2999999999993</v>
      </c>
      <c r="P49" s="16">
        <f>SUM(K49-O49)+H49</f>
        <v>6213.8100000000013</v>
      </c>
      <c r="Q49" s="22"/>
      <c r="R49" s="46">
        <v>6213.81</v>
      </c>
    </row>
    <row r="50" spans="1:18" x14ac:dyDescent="0.25">
      <c r="A50" s="38">
        <v>45</v>
      </c>
      <c r="B50" s="47" t="s">
        <v>28</v>
      </c>
      <c r="C50" s="14">
        <f>7869.22+1416.46</f>
        <v>9285.68</v>
      </c>
      <c r="D50" s="24">
        <v>1573.84</v>
      </c>
      <c r="E50" s="24"/>
      <c r="F50" s="24"/>
      <c r="G50" s="24"/>
      <c r="H50" s="24"/>
      <c r="I50" s="27"/>
      <c r="J50" s="27"/>
      <c r="K50" s="12">
        <f t="shared" si="29"/>
        <v>10859.52</v>
      </c>
      <c r="L50" s="3">
        <v>1971.75</v>
      </c>
      <c r="M50" s="3">
        <v>951.62</v>
      </c>
      <c r="N50" s="2">
        <f t="shared" si="30"/>
        <v>1035.0600000000004</v>
      </c>
      <c r="O50" s="2">
        <f t="shared" si="1"/>
        <v>3958.4300000000003</v>
      </c>
      <c r="P50" s="16">
        <f>SUM(K50-O50)+H50</f>
        <v>6901.09</v>
      </c>
      <c r="Q50" s="22"/>
      <c r="R50" s="46">
        <v>6901.09</v>
      </c>
    </row>
    <row r="51" spans="1:18" x14ac:dyDescent="0.25">
      <c r="A51" s="38">
        <v>46</v>
      </c>
      <c r="B51" s="47" t="s">
        <v>29</v>
      </c>
      <c r="C51" s="14">
        <v>7011.99</v>
      </c>
      <c r="D51" s="24"/>
      <c r="E51" s="24"/>
      <c r="F51" s="24"/>
      <c r="G51" s="24"/>
      <c r="H51" s="24"/>
      <c r="I51" s="27"/>
      <c r="J51" s="27"/>
      <c r="K51" s="12">
        <f t="shared" si="29"/>
        <v>7011.99</v>
      </c>
      <c r="L51" s="3">
        <v>817.55</v>
      </c>
      <c r="M51" s="3">
        <v>791.26</v>
      </c>
      <c r="N51" s="2">
        <f t="shared" si="30"/>
        <v>1320.1699999999992</v>
      </c>
      <c r="O51" s="2">
        <f t="shared" si="1"/>
        <v>2928.9799999999991</v>
      </c>
      <c r="P51" s="16">
        <f t="shared" si="2"/>
        <v>4083.0100000000007</v>
      </c>
      <c r="Q51" s="22"/>
      <c r="R51" s="46">
        <v>4083.01</v>
      </c>
    </row>
    <row r="52" spans="1:18" x14ac:dyDescent="0.25">
      <c r="A52" s="38">
        <v>47</v>
      </c>
      <c r="B52" s="47" t="s">
        <v>30</v>
      </c>
      <c r="C52" s="14">
        <f>7791.31+1745.25</f>
        <v>9536.5600000000013</v>
      </c>
      <c r="D52" s="24">
        <v>3116.52</v>
      </c>
      <c r="E52" s="24"/>
      <c r="F52" s="24"/>
      <c r="G52" s="24"/>
      <c r="H52" s="24"/>
      <c r="I52" s="27"/>
      <c r="J52" s="27"/>
      <c r="K52" s="12">
        <f t="shared" ref="K52:K60" si="38">SUM(C52:I52)</f>
        <v>12653.080000000002</v>
      </c>
      <c r="L52" s="3">
        <v>2429.02</v>
      </c>
      <c r="M52" s="3">
        <f>19.46+932.16</f>
        <v>951.62</v>
      </c>
      <c r="N52" s="2">
        <f t="shared" si="30"/>
        <v>286.95000000000073</v>
      </c>
      <c r="O52" s="2">
        <f t="shared" si="1"/>
        <v>3667.5900000000006</v>
      </c>
      <c r="P52" s="16">
        <f t="shared" si="2"/>
        <v>8985.4900000000016</v>
      </c>
      <c r="Q52" s="22"/>
      <c r="R52" s="46">
        <v>8985.49</v>
      </c>
    </row>
    <row r="53" spans="1:18" x14ac:dyDescent="0.25">
      <c r="A53" s="38">
        <v>48</v>
      </c>
      <c r="B53" s="47" t="s">
        <v>31</v>
      </c>
      <c r="C53" s="14">
        <f>8077.28+1169.31</f>
        <v>9246.59</v>
      </c>
      <c r="D53" s="24">
        <v>1667.01</v>
      </c>
      <c r="E53" s="24"/>
      <c r="F53" s="24"/>
      <c r="G53" s="24"/>
      <c r="H53" s="24"/>
      <c r="I53" s="27"/>
      <c r="J53" s="27"/>
      <c r="K53" s="12">
        <f t="shared" si="38"/>
        <v>10913.6</v>
      </c>
      <c r="L53" s="3">
        <v>1927.03</v>
      </c>
      <c r="M53" s="3">
        <f>766.91+184.71</f>
        <v>951.62</v>
      </c>
      <c r="N53" s="2">
        <f t="shared" si="30"/>
        <v>1063.0599999999995</v>
      </c>
      <c r="O53" s="2">
        <f t="shared" si="1"/>
        <v>3941.7099999999996</v>
      </c>
      <c r="P53" s="16">
        <f t="shared" si="2"/>
        <v>6971.8900000000012</v>
      </c>
      <c r="Q53" s="22"/>
      <c r="R53" s="46">
        <v>6971.89</v>
      </c>
    </row>
    <row r="54" spans="1:18" x14ac:dyDescent="0.25">
      <c r="A54" s="38">
        <v>49</v>
      </c>
      <c r="B54" s="47" t="s">
        <v>53</v>
      </c>
      <c r="C54" s="14">
        <v>3866.88</v>
      </c>
      <c r="D54" s="24"/>
      <c r="E54" s="24"/>
      <c r="F54" s="24"/>
      <c r="G54" s="24"/>
      <c r="H54" s="24"/>
      <c r="I54" s="27"/>
      <c r="J54" s="27"/>
      <c r="K54" s="12">
        <f t="shared" si="38"/>
        <v>3866.88</v>
      </c>
      <c r="L54" s="3">
        <v>123.46</v>
      </c>
      <c r="M54" s="3">
        <v>357.43</v>
      </c>
      <c r="N54" s="2">
        <f t="shared" ref="N54" si="39">K54-L54-M54-R54</f>
        <v>287.19000000000005</v>
      </c>
      <c r="O54" s="2">
        <f t="shared" ref="O54" si="40">SUM(L54:N54)</f>
        <v>768.08</v>
      </c>
      <c r="P54" s="16">
        <f t="shared" ref="P54" si="41">SUM(K54-O54)</f>
        <v>3098.8</v>
      </c>
      <c r="Q54" s="22"/>
      <c r="R54" s="46">
        <v>3098.8</v>
      </c>
    </row>
    <row r="55" spans="1:18" x14ac:dyDescent="0.25">
      <c r="A55" s="38">
        <v>50</v>
      </c>
      <c r="B55" s="47" t="s">
        <v>32</v>
      </c>
      <c r="C55" s="14">
        <f>18125.69+6960.27</f>
        <v>25085.96</v>
      </c>
      <c r="D55" s="24">
        <v>3625.14</v>
      </c>
      <c r="E55" s="24"/>
      <c r="F55" s="24"/>
      <c r="G55" s="24"/>
      <c r="H55" s="24"/>
      <c r="I55" s="27"/>
      <c r="J55" s="27"/>
      <c r="K55" s="12">
        <f t="shared" si="38"/>
        <v>28711.1</v>
      </c>
      <c r="L55" s="3">
        <v>7137.08</v>
      </c>
      <c r="M55" s="3">
        <v>951.62</v>
      </c>
      <c r="N55" s="2">
        <f t="shared" si="30"/>
        <v>359.71999999999753</v>
      </c>
      <c r="O55" s="2">
        <f t="shared" si="1"/>
        <v>8448.4199999999983</v>
      </c>
      <c r="P55" s="16">
        <f>SUM(K55-O55)+H55</f>
        <v>20262.68</v>
      </c>
      <c r="Q55" s="22"/>
      <c r="R55" s="46">
        <v>20262.68</v>
      </c>
    </row>
    <row r="56" spans="1:18" x14ac:dyDescent="0.25">
      <c r="A56" s="38">
        <v>51</v>
      </c>
      <c r="B56" s="47" t="s">
        <v>33</v>
      </c>
      <c r="C56" s="14">
        <v>4346.67</v>
      </c>
      <c r="D56" s="24"/>
      <c r="E56" s="24"/>
      <c r="F56" s="24"/>
      <c r="G56" s="24"/>
      <c r="H56" s="24"/>
      <c r="I56" s="27"/>
      <c r="J56" s="27"/>
      <c r="K56" s="12">
        <f t="shared" si="38"/>
        <v>4346.67</v>
      </c>
      <c r="L56" s="3">
        <v>214.23</v>
      </c>
      <c r="M56" s="3">
        <v>419.32</v>
      </c>
      <c r="N56" s="2">
        <f t="shared" si="30"/>
        <v>51.720000000000255</v>
      </c>
      <c r="O56" s="2">
        <f t="shared" si="1"/>
        <v>685.27000000000021</v>
      </c>
      <c r="P56" s="16">
        <f t="shared" si="2"/>
        <v>3661.3999999999996</v>
      </c>
      <c r="Q56" s="22"/>
      <c r="R56" s="46">
        <v>3661.4</v>
      </c>
    </row>
    <row r="57" spans="1:18" x14ac:dyDescent="0.25">
      <c r="A57" s="38">
        <v>52</v>
      </c>
      <c r="B57" s="47" t="s">
        <v>70</v>
      </c>
      <c r="C57" s="14">
        <f>3867.3+217.51</f>
        <v>4084.8100000000004</v>
      </c>
      <c r="D57" s="24">
        <f>1389.18+181.28</f>
        <v>1570.46</v>
      </c>
      <c r="E57" s="24"/>
      <c r="F57" s="24">
        <f>1039.3+346.43+54.04+18.01</f>
        <v>1457.78</v>
      </c>
      <c r="G57" s="24">
        <f>2078.61+692.87+108.09+36.03</f>
        <v>2915.6000000000004</v>
      </c>
      <c r="H57" s="24">
        <v>3117.91</v>
      </c>
      <c r="I57" s="27"/>
      <c r="J57" s="27"/>
      <c r="K57" s="12">
        <f t="shared" si="38"/>
        <v>13146.560000000001</v>
      </c>
      <c r="L57" s="3">
        <v>549.97</v>
      </c>
      <c r="M57" s="3">
        <f>701.49+103.92</f>
        <v>805.41</v>
      </c>
      <c r="N57" s="2">
        <f t="shared" ref="N57" si="42">K57-L57-M57-R57</f>
        <v>7282.4900000000025</v>
      </c>
      <c r="O57" s="2">
        <f t="shared" ref="O57" si="43">SUM(L57:N57)</f>
        <v>8637.8700000000026</v>
      </c>
      <c r="P57" s="16">
        <f t="shared" ref="P57" si="44">SUM(K57-O57)</f>
        <v>4508.6899999999987</v>
      </c>
      <c r="Q57" s="22"/>
      <c r="R57" s="46">
        <v>4508.6899999999996</v>
      </c>
    </row>
    <row r="58" spans="1:18" x14ac:dyDescent="0.25">
      <c r="A58" s="38">
        <v>53</v>
      </c>
      <c r="B58" s="47" t="s">
        <v>75</v>
      </c>
      <c r="C58" s="14">
        <v>4594.3599999999997</v>
      </c>
      <c r="D58" s="24"/>
      <c r="E58" s="24"/>
      <c r="F58" s="24"/>
      <c r="G58" s="24"/>
      <c r="H58" s="24"/>
      <c r="I58" s="27"/>
      <c r="J58" s="27"/>
      <c r="K58" s="12">
        <f t="shared" si="38"/>
        <v>4594.3599999999997</v>
      </c>
      <c r="L58" s="3">
        <v>272.70999999999998</v>
      </c>
      <c r="M58" s="3">
        <v>452.79</v>
      </c>
      <c r="N58" s="2">
        <f t="shared" ref="N58" si="45">K58-L58-M58-R58</f>
        <v>111.28999999999951</v>
      </c>
      <c r="O58" s="2">
        <f t="shared" ref="O58" si="46">SUM(L58:N58)</f>
        <v>836.78999999999951</v>
      </c>
      <c r="P58" s="16">
        <f t="shared" ref="P58" si="47">SUM(K58-O58)</f>
        <v>3757.57</v>
      </c>
      <c r="Q58" s="22"/>
      <c r="R58" s="46">
        <v>3757.57</v>
      </c>
    </row>
    <row r="59" spans="1:18" x14ac:dyDescent="0.25">
      <c r="A59" s="38">
        <v>54</v>
      </c>
      <c r="B59" s="47" t="s">
        <v>34</v>
      </c>
      <c r="C59" s="14">
        <f>16109.08+7893.45</f>
        <v>24002.53</v>
      </c>
      <c r="D59" s="24">
        <v>6443.63</v>
      </c>
      <c r="E59" s="24"/>
      <c r="F59" s="24"/>
      <c r="G59" s="24"/>
      <c r="H59" s="24"/>
      <c r="I59" s="27"/>
      <c r="J59" s="27"/>
      <c r="K59" s="12">
        <f t="shared" si="38"/>
        <v>30446.16</v>
      </c>
      <c r="L59" s="3">
        <v>7628.37</v>
      </c>
      <c r="M59" s="3">
        <v>951.62</v>
      </c>
      <c r="N59" s="2">
        <f t="shared" si="30"/>
        <v>1875.510000000002</v>
      </c>
      <c r="O59" s="2">
        <f t="shared" si="1"/>
        <v>10455.500000000002</v>
      </c>
      <c r="P59" s="16">
        <f>SUM(K59-O59)+H59</f>
        <v>19990.659999999996</v>
      </c>
      <c r="Q59" s="22"/>
      <c r="R59" s="46">
        <v>19990.66</v>
      </c>
    </row>
    <row r="60" spans="1:18" x14ac:dyDescent="0.25">
      <c r="A60" s="38">
        <v>55</v>
      </c>
      <c r="B60" s="47" t="s">
        <v>35</v>
      </c>
      <c r="C60" s="14">
        <v>8559.91</v>
      </c>
      <c r="D60" s="24"/>
      <c r="E60" s="24"/>
      <c r="F60" s="24"/>
      <c r="G60" s="24"/>
      <c r="H60" s="24"/>
      <c r="I60" s="27"/>
      <c r="J60" s="27"/>
      <c r="K60" s="12">
        <f t="shared" si="38"/>
        <v>8559.91</v>
      </c>
      <c r="L60" s="3">
        <v>1247.77</v>
      </c>
      <c r="M60" s="3">
        <v>948.73</v>
      </c>
      <c r="N60" s="2">
        <f t="shared" si="30"/>
        <v>2186.66</v>
      </c>
      <c r="O60" s="2">
        <f t="shared" si="1"/>
        <v>4383.16</v>
      </c>
      <c r="P60" s="16">
        <f t="shared" si="2"/>
        <v>4176.75</v>
      </c>
      <c r="Q60" s="22"/>
      <c r="R60" s="46">
        <v>4176.75</v>
      </c>
    </row>
    <row r="61" spans="1:18" x14ac:dyDescent="0.25">
      <c r="A61" s="38">
        <v>56</v>
      </c>
      <c r="B61" s="47" t="s">
        <v>58</v>
      </c>
      <c r="C61" s="14">
        <v>7117.06</v>
      </c>
      <c r="D61" s="24"/>
      <c r="E61" s="24"/>
      <c r="F61" s="24"/>
      <c r="G61" s="24"/>
      <c r="H61" s="24"/>
      <c r="I61" s="27"/>
      <c r="J61" s="27"/>
      <c r="K61" s="12">
        <f>SUM(C61:I61)</f>
        <v>7117.06</v>
      </c>
      <c r="L61" s="3">
        <v>910.98</v>
      </c>
      <c r="M61" s="3">
        <v>805.97</v>
      </c>
      <c r="N61" s="2">
        <f t="shared" ref="N61" si="48">K61-L61-M61-R61</f>
        <v>1139.7199999999993</v>
      </c>
      <c r="O61" s="2">
        <f t="shared" ref="O61" si="49">SUM(L61:N61)</f>
        <v>2856.6699999999992</v>
      </c>
      <c r="P61" s="16">
        <f t="shared" ref="P61" si="50">SUM(K61-O61)</f>
        <v>4260.3900000000012</v>
      </c>
      <c r="Q61" s="22"/>
      <c r="R61" s="46">
        <v>4260.3900000000003</v>
      </c>
    </row>
    <row r="62" spans="1:18" x14ac:dyDescent="0.25">
      <c r="A62" s="38">
        <v>57</v>
      </c>
      <c r="B62" s="49" t="s">
        <v>76</v>
      </c>
      <c r="C62" s="43">
        <v>4780.8999999999996</v>
      </c>
      <c r="D62" s="44"/>
      <c r="E62" s="44"/>
      <c r="F62" s="44"/>
      <c r="G62" s="24"/>
      <c r="H62" s="24"/>
      <c r="I62" s="27"/>
      <c r="J62" s="27"/>
      <c r="K62" s="12">
        <f>SUM(C62:I62)</f>
        <v>4780.8999999999996</v>
      </c>
      <c r="L62" s="45">
        <v>323.47000000000003</v>
      </c>
      <c r="M62" s="45">
        <v>496.29</v>
      </c>
      <c r="N62" s="2">
        <f t="shared" ref="N62" si="51">K62-L62-M62-R62</f>
        <v>322.1299999999992</v>
      </c>
      <c r="O62" s="2">
        <f t="shared" ref="O62" si="52">SUM(L62:N62)</f>
        <v>1141.8899999999992</v>
      </c>
      <c r="P62" s="16">
        <f t="shared" ref="P62" si="53">SUM(K62-O62)</f>
        <v>3639.01</v>
      </c>
      <c r="Q62" s="22"/>
      <c r="R62" s="46">
        <v>3639.01</v>
      </c>
    </row>
    <row r="63" spans="1:18" ht="15.75" thickBot="1" x14ac:dyDescent="0.3">
      <c r="A63" s="38">
        <v>58</v>
      </c>
      <c r="B63" s="50" t="s">
        <v>36</v>
      </c>
      <c r="C63" s="15">
        <f>12026.5+2693.94</f>
        <v>14720.44</v>
      </c>
      <c r="D63" s="26">
        <v>4810.6000000000004</v>
      </c>
      <c r="E63" s="26"/>
      <c r="F63" s="26"/>
      <c r="G63" s="26"/>
      <c r="H63" s="26"/>
      <c r="I63" s="28">
        <v>2247.83</v>
      </c>
      <c r="J63" s="28"/>
      <c r="K63" s="13">
        <f>SUM(C63:J63)</f>
        <v>21778.870000000003</v>
      </c>
      <c r="L63" s="10">
        <v>5032.12</v>
      </c>
      <c r="M63" s="10">
        <v>951.62</v>
      </c>
      <c r="N63" s="11">
        <f t="shared" si="30"/>
        <v>43.290000000002692</v>
      </c>
      <c r="O63" s="11">
        <f t="shared" si="1"/>
        <v>6027.0300000000025</v>
      </c>
      <c r="P63" s="17">
        <f t="shared" si="2"/>
        <v>15751.84</v>
      </c>
      <c r="Q63" s="22"/>
      <c r="R63" s="46">
        <v>15751.84</v>
      </c>
    </row>
    <row r="64" spans="1:18" ht="15.75" thickBot="1" x14ac:dyDescent="0.3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2:16" x14ac:dyDescent="0.25">
      <c r="B65" s="51" t="s">
        <v>85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ht="5.25" customHeight="1" x14ac:dyDescent="0.25">
      <c r="B66" s="68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70"/>
    </row>
    <row r="67" spans="2:16" x14ac:dyDescent="0.25">
      <c r="B67" s="71" t="s">
        <v>66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3"/>
    </row>
    <row r="68" spans="2:16" x14ac:dyDescent="0.25">
      <c r="B68" s="68" t="s">
        <v>64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</row>
    <row r="69" spans="2:16" x14ac:dyDescent="0.25">
      <c r="B69" s="68" t="s">
        <v>86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65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ht="15.75" thickBot="1" x14ac:dyDescent="0.3">
      <c r="B71" s="65" t="s">
        <v>78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7"/>
    </row>
    <row r="72" spans="2:16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2:16" x14ac:dyDescent="0.25">
      <c r="B73" s="6"/>
      <c r="C73" s="5"/>
      <c r="D73" s="5"/>
      <c r="E73" s="5"/>
      <c r="F73" s="5"/>
      <c r="G73" s="5"/>
      <c r="H73" s="5"/>
      <c r="I73" s="5"/>
      <c r="J73" s="5"/>
      <c r="K73" s="39"/>
      <c r="L73" s="5"/>
      <c r="M73" s="5"/>
      <c r="N73" s="5"/>
      <c r="O73" s="39"/>
      <c r="P73" s="5"/>
    </row>
    <row r="74" spans="2:16" x14ac:dyDescent="0.25">
      <c r="B74" s="4"/>
      <c r="C74" s="4"/>
      <c r="D74" s="4"/>
      <c r="E74" s="4"/>
      <c r="F74" s="4"/>
      <c r="G74" s="4"/>
      <c r="H74" s="4"/>
      <c r="I74" s="4"/>
      <c r="J74" s="4"/>
      <c r="K74" s="41"/>
      <c r="L74" s="41"/>
      <c r="M74" s="41"/>
      <c r="N74" s="41"/>
      <c r="O74" s="41"/>
      <c r="P74" s="41"/>
    </row>
    <row r="75" spans="2:16" x14ac:dyDescent="0.25">
      <c r="K75" s="1"/>
      <c r="O75" s="1"/>
      <c r="P75" s="1"/>
    </row>
    <row r="77" spans="2:16" x14ac:dyDescent="0.25">
      <c r="K77" s="1"/>
      <c r="O77" s="1"/>
    </row>
    <row r="78" spans="2:16" x14ac:dyDescent="0.25">
      <c r="K78" s="1"/>
      <c r="L78" s="1"/>
      <c r="M78" s="1"/>
      <c r="N78" s="1"/>
      <c r="P78" s="1"/>
    </row>
  </sheetData>
  <mergeCells count="18">
    <mergeCell ref="B71:P71"/>
    <mergeCell ref="B66:P66"/>
    <mergeCell ref="B67:P67"/>
    <mergeCell ref="B68:P68"/>
    <mergeCell ref="B70:P70"/>
    <mergeCell ref="B69:P69"/>
    <mergeCell ref="B65:P65"/>
    <mergeCell ref="B64:P64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2025-06-06T17:07:40Z</dcterms:modified>
</cp:coreProperties>
</file>