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3-MARÇO\"/>
    </mc:Choice>
  </mc:AlternateContent>
  <xr:revisionPtr revIDLastSave="0" documentId="13_ncr:1_{98CC9D1A-037A-4EF3-BFB0-AA49884B9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0" i="6" l="1"/>
  <c r="G60" i="6"/>
  <c r="F60" i="6"/>
  <c r="C60" i="6"/>
  <c r="M59" i="6"/>
  <c r="G59" i="6"/>
  <c r="F59" i="6"/>
  <c r="C59" i="6"/>
  <c r="C54" i="6"/>
  <c r="C53" i="6"/>
  <c r="C47" i="6"/>
  <c r="C41" i="6"/>
  <c r="M40" i="6"/>
  <c r="F40" i="6"/>
  <c r="C40" i="6"/>
  <c r="G39" i="6"/>
  <c r="F39" i="6"/>
  <c r="D39" i="6"/>
  <c r="C39" i="6"/>
  <c r="F38" i="6"/>
  <c r="C38" i="6"/>
  <c r="L35" i="6"/>
  <c r="F35" i="6"/>
  <c r="C35" i="6"/>
  <c r="L28" i="6"/>
  <c r="F28" i="6"/>
  <c r="C28" i="6"/>
  <c r="L26" i="6"/>
  <c r="F26" i="6"/>
  <c r="C26" i="6"/>
  <c r="L25" i="6"/>
  <c r="F25" i="6"/>
  <c r="C25" i="6"/>
  <c r="C24" i="6"/>
  <c r="C23" i="6"/>
  <c r="L22" i="6"/>
  <c r="G22" i="6"/>
  <c r="F22" i="6"/>
  <c r="C22" i="6"/>
  <c r="D14" i="6"/>
  <c r="C14" i="6"/>
  <c r="D13" i="6"/>
  <c r="C13" i="6"/>
  <c r="C8" i="6"/>
  <c r="C64" i="6"/>
  <c r="C63" i="6"/>
  <c r="C62" i="6"/>
  <c r="C57" i="6"/>
  <c r="C56" i="6"/>
  <c r="M54" i="6"/>
  <c r="M53" i="6"/>
  <c r="M50" i="6"/>
  <c r="C49" i="6"/>
  <c r="C48" i="6"/>
  <c r="M47" i="6"/>
  <c r="C46" i="6"/>
  <c r="C44" i="6"/>
  <c r="C42" i="6"/>
  <c r="C32" i="6"/>
  <c r="C31" i="6"/>
  <c r="C27" i="6"/>
  <c r="M24" i="6"/>
  <c r="C18" i="6"/>
  <c r="C16" i="6"/>
  <c r="C15" i="6"/>
  <c r="M7" i="6"/>
  <c r="L7" i="6"/>
  <c r="F7" i="6"/>
  <c r="C7" i="6"/>
  <c r="C58" i="6"/>
  <c r="C51" i="6"/>
  <c r="C45" i="6"/>
  <c r="C36" i="6"/>
  <c r="C29" i="6"/>
  <c r="C43" i="6"/>
  <c r="C12" i="6"/>
  <c r="C9" i="6"/>
  <c r="C30" i="6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8" i="6"/>
  <c r="K39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9" i="6"/>
  <c r="O39" i="6" s="1"/>
  <c r="P39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<sst xmlns="http://schemas.openxmlformats.org/spreadsheetml/2006/main" count="90" uniqueCount="88">
  <si>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</si>
  <si>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</si>
  <si>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</si>
  <si>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</si>
  <si>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</si>
  <si>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</si>
  <si>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</si>
  <si>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</si>
  <si>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</si>
  <si>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</si>
  <si>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</si>
  <si>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</si>
  <si>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</si>
  <si>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</si>
  <si>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</si>
  <si>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</si>
  <si>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</si>
  <si>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</si>
  <si>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</si>
  <si>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</si>
  <si>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</si>
  <si>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</si>
  <si>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</si>
  <si>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</si>
  <si>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</si>
  <si>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</si>
  <si>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</si>
  <si>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</si>
  <si>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</si>
  <si>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</si>
  <si>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</si>
  <si>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</si>
  <si>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</si>
  <si>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</si>
  <si>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</si>
  <si>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</si>
  <si>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</si>
  <si>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</si>
  <si>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</si>
  <si>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</si>
  <si>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</si>
  <si>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</si>
  <si>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</si>
  <si>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</si>
  <si>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</si>
  <si>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</si>
  <si>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</si>
  <si>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</si>
  <si>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</si>
  <si>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</si>
  <si>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</si>
  <si>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</si>
  <si>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</si>
  <si>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</si>
  <si>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</si>
  <si>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</si>
  <si>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</si>
  <si>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</si>
  <si>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</si>
  <si>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</si>
  <si>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</si>
  <si>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</si>
  <si>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</si>
  <si>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</si>
  <si>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</si>
  <si>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</si>
  <si>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</si>
  <si>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</si>
  <si>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</si>
  <si>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</si>
  <si>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</si>
  <si>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</si>
  <si>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</si>
  <si>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</si>
  <si>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</si>
  <si>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</si>
  <si>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</si>
  <si>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</si>
  <si>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</si>
  <si>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</si>
  <si>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</si>
  <si>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</si>
  <si>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</si>
  <si>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</si>
  <si>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</si>
  <si>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</si>
  <si>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r>
      <t xml:space="preserve">MAICON ALLAN MARTINS GADIOLI </t>
    </r>
    <r>
      <rPr>
        <b/>
        <i/>
        <sz val="11"/>
        <color rgb="FFFF0000"/>
        <rFont val="Calibri"/>
        <family val="2"/>
        <scheme val="minor"/>
      </rPr>
      <t>(contrato suspenso)</t>
    </r>
  </si>
  <si>
    <t>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</si>
</sst>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70" t="s">
        <v>41</v>
      </c>
      <c r="M5" s="68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67"/>
      <c r="C6" s="69"/>
      <c r="D6" s="73"/>
      <c r="E6" s="69"/>
      <c r="F6" s="69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71"/>
      <c r="M6" s="69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4515.02+641.65</f>
        <v>5156.67</v>
      </c>
      <c r="D7" s="24">
        <v>1901.51</v>
      </c>
      <c r="E7" s="24"/>
      <c r="F7" s="24">
        <f>4705.45+1568.48</f>
        <v>6273.93</v>
      </c>
      <c r="G7" s="24"/>
      <c r="H7" s="24"/>
      <c r="I7" s="27"/>
      <c r="J7" s="27"/>
      <c r="K7" s="12">
        <f t="shared" ref="K7:K14" si="0">SUM(C7:I7)</f>
        <v>13332.11</v>
      </c>
      <c r="L7" s="3">
        <f>889.68+640.15</f>
        <v>1529.83</v>
      </c>
      <c r="M7" s="3">
        <f>263.69+687.93</f>
        <v>951.61999999999989</v>
      </c>
      <c r="N7" s="2">
        <f>K7-L7-M7-R7</f>
        <v>4989.24</v>
      </c>
      <c r="O7" s="2">
        <f t="shared" ref="O7:O64" si="1">SUM(L7:N7)</f>
        <v>7470.69</v>
      </c>
      <c r="P7" s="16">
        <f t="shared" ref="P7:P64" si="2">SUM(K7-O7)</f>
        <v>5861.420000000001</v>
      </c>
      <c r="Q7" s="22"/>
      <c r="R7" s="46">
        <v>5861.42</v>
      </c>
    </row>
    <row r="8" spans="1:19" x14ac:dyDescent="0.25">
      <c r="A8" s="38">
        <v>2</v>
      </c>
      <c r="B8" s="47" t="s">
        <v>55</v>
      </c>
      <c r="C8" s="14">
        <f>3469.63+464.72</f>
        <v>3934.3500000000004</v>
      </c>
      <c r="D8" s="24">
        <v>3169.18</v>
      </c>
      <c r="E8" s="24"/>
      <c r="F8" s="24"/>
      <c r="G8" s="24"/>
      <c r="H8" s="24"/>
      <c r="I8" s="27"/>
      <c r="J8" s="27"/>
      <c r="K8" s="12">
        <f t="shared" si="0"/>
        <v>7103.5300000000007</v>
      </c>
      <c r="L8" s="3">
        <v>836.35</v>
      </c>
      <c r="M8" s="3">
        <v>804.07</v>
      </c>
      <c r="N8" s="2">
        <f t="shared" ref="N8:N13" si="3">K8-L8-M8-R8</f>
        <v>146.05000000000018</v>
      </c>
      <c r="O8" s="2">
        <f t="shared" si="1"/>
        <v>1786.4700000000003</v>
      </c>
      <c r="P8" s="16">
        <f t="shared" si="2"/>
        <v>5317.06</v>
      </c>
      <c r="Q8" s="22"/>
      <c r="R8" s="46">
        <v>5317.06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1002.66</v>
      </c>
      <c r="M9" s="3">
        <v>902.53</v>
      </c>
      <c r="N9" s="2">
        <f t="shared" ref="N9:N10" si="5">K9-L9-M9-R9</f>
        <v>883.36000000000058</v>
      </c>
      <c r="O9" s="2">
        <f t="shared" ref="O9:O10" si="6">SUM(L9:N9)</f>
        <v>2788.5500000000006</v>
      </c>
      <c r="P9" s="16">
        <f t="shared" ref="P9:P10" si="7">SUM(K9-O9)</f>
        <v>5018.2099999999991</v>
      </c>
      <c r="Q9" s="22"/>
      <c r="R9" s="46">
        <v>5018.21</v>
      </c>
    </row>
    <row r="10" spans="1:19" x14ac:dyDescent="0.25">
      <c r="A10" s="38">
        <v>4</v>
      </c>
      <c r="B10" s="47" t="s">
        <v>74</v>
      </c>
      <c r="C10" s="14">
        <v>4367.26</v>
      </c>
      <c r="D10" s="24"/>
      <c r="E10" s="24"/>
      <c r="F10" s="24"/>
      <c r="G10" s="24"/>
      <c r="H10" s="24"/>
      <c r="I10" s="27"/>
      <c r="J10" s="27"/>
      <c r="K10" s="12">
        <f t="shared" si="4"/>
        <v>4367.26</v>
      </c>
      <c r="L10" s="3">
        <v>192.78</v>
      </c>
      <c r="M10" s="3">
        <v>421</v>
      </c>
      <c r="N10" s="2">
        <f t="shared" si="5"/>
        <v>8.3500000000003638</v>
      </c>
      <c r="O10" s="2">
        <f t="shared" si="6"/>
        <v>622.13000000000034</v>
      </c>
      <c r="P10" s="16">
        <f t="shared" si="7"/>
        <v>3745.13</v>
      </c>
      <c r="Q10" s="22"/>
      <c r="R10" s="46">
        <v>3745.13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473.72</v>
      </c>
      <c r="N11" s="2">
        <f t="shared" si="3"/>
        <v>546.83000000000038</v>
      </c>
      <c r="O11" s="2">
        <f t="shared" si="1"/>
        <v>1298.0700000000004</v>
      </c>
      <c r="P11" s="16">
        <f>SUM(K11-O11)+H11</f>
        <v>3445.8099999999995</v>
      </c>
      <c r="Q11" s="22"/>
      <c r="R11" s="46">
        <v>3445.81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610.24</v>
      </c>
      <c r="M12" s="3">
        <v>670.23</v>
      </c>
      <c r="N12" s="2">
        <f t="shared" si="3"/>
        <v>1411.5</v>
      </c>
      <c r="O12" s="2">
        <f t="shared" si="1"/>
        <v>2691.9700000000003</v>
      </c>
      <c r="P12" s="16">
        <f t="shared" si="2"/>
        <v>3455.51</v>
      </c>
      <c r="Q12" s="22"/>
      <c r="R12" s="46">
        <v>3455.51</v>
      </c>
    </row>
    <row r="13" spans="1:19" x14ac:dyDescent="0.25">
      <c r="A13" s="38">
        <v>7</v>
      </c>
      <c r="B13" s="47" t="s">
        <v>70</v>
      </c>
      <c r="C13" s="14">
        <f>6316.15+228.42</f>
        <v>6544.57</v>
      </c>
      <c r="D13" s="24">
        <f>1263.23+34.46</f>
        <v>1297.69</v>
      </c>
      <c r="E13" s="24"/>
      <c r="F13" s="24"/>
      <c r="G13" s="24"/>
      <c r="H13" s="24"/>
      <c r="I13" s="27"/>
      <c r="J13" s="27"/>
      <c r="K13" s="12">
        <f t="shared" si="0"/>
        <v>7842.26</v>
      </c>
      <c r="L13" s="3">
        <v>958.92</v>
      </c>
      <c r="M13" s="3">
        <v>907.5</v>
      </c>
      <c r="N13" s="2">
        <f t="shared" si="3"/>
        <v>185.01000000000022</v>
      </c>
      <c r="O13" s="2">
        <f t="shared" si="1"/>
        <v>2051.4300000000003</v>
      </c>
      <c r="P13" s="16">
        <f t="shared" si="2"/>
        <v>5790.83</v>
      </c>
      <c r="Q13" s="22"/>
      <c r="R13" s="46">
        <v>5790.83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8062.74</v>
      </c>
      <c r="M14" s="3">
        <v>951.62</v>
      </c>
      <c r="N14" s="2">
        <f>K14-L14-M14-R14</f>
        <v>96.220000000001164</v>
      </c>
      <c r="O14" s="2">
        <f t="shared" si="1"/>
        <v>9110.5800000000017</v>
      </c>
      <c r="P14" s="16">
        <f t="shared" si="2"/>
        <v>24418.259999999995</v>
      </c>
      <c r="Q14" s="22"/>
      <c r="R14" s="46">
        <v>24418.26</v>
      </c>
    </row>
    <row r="15" spans="1:19" x14ac:dyDescent="0.25">
      <c r="A15" s="38">
        <v>9</v>
      </c>
      <c r="B15" s="47" t="s">
        <v>4</v>
      </c>
      <c r="C15" s="14">
        <f>16393.51+5737.73</f>
        <v>22131.239999999998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28688.639999999999</v>
      </c>
      <c r="L15" s="3">
        <v>6731.68</v>
      </c>
      <c r="M15" s="3">
        <v>951.62</v>
      </c>
      <c r="N15" s="2">
        <f t="shared" ref="N15:N42" si="9">K15-L15-M15-R15</f>
        <v>68.990000000001601</v>
      </c>
      <c r="O15" s="2">
        <f t="shared" si="1"/>
        <v>7752.2900000000018</v>
      </c>
      <c r="P15" s="16">
        <f t="shared" si="2"/>
        <v>20936.349999999999</v>
      </c>
      <c r="Q15" s="22"/>
      <c r="R15" s="46">
        <v>20936.349999999999</v>
      </c>
    </row>
    <row r="16" spans="1:19" x14ac:dyDescent="0.25">
      <c r="A16" s="38">
        <v>10</v>
      </c>
      <c r="B16" s="47" t="s">
        <v>5</v>
      </c>
      <c r="C16" s="14">
        <f>4191.69+693.16</f>
        <v>4884.8499999999995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6469.4599999999991</v>
      </c>
      <c r="L16" s="3">
        <v>686.39</v>
      </c>
      <c r="M16" s="3">
        <v>715.3</v>
      </c>
      <c r="N16" s="2">
        <f t="shared" si="9"/>
        <v>64.249999999998181</v>
      </c>
      <c r="O16" s="2">
        <f t="shared" si="1"/>
        <v>1465.9399999999982</v>
      </c>
      <c r="P16" s="16">
        <f t="shared" si="2"/>
        <v>5003.5200000000004</v>
      </c>
      <c r="Q16" s="22"/>
      <c r="R16" s="46">
        <v>5003.5200000000004</v>
      </c>
    </row>
    <row r="17" spans="1:18" x14ac:dyDescent="0.25">
      <c r="A17" s="38">
        <v>11</v>
      </c>
      <c r="B17" s="47" t="s">
        <v>6</v>
      </c>
      <c r="C17" s="14">
        <v>4320.5600000000004</v>
      </c>
      <c r="D17" s="24"/>
      <c r="E17" s="24"/>
      <c r="F17" s="24"/>
      <c r="G17" s="24"/>
      <c r="H17" s="24"/>
      <c r="I17" s="27"/>
      <c r="J17" s="27"/>
      <c r="K17" s="12">
        <f t="shared" si="8"/>
        <v>4320.5600000000004</v>
      </c>
      <c r="L17" s="3">
        <v>182.28</v>
      </c>
      <c r="M17" s="3">
        <v>414.46</v>
      </c>
      <c r="N17" s="2">
        <f t="shared" si="9"/>
        <v>438.40000000000055</v>
      </c>
      <c r="O17" s="2">
        <f t="shared" si="1"/>
        <v>1035.1400000000006</v>
      </c>
      <c r="P17" s="16">
        <f t="shared" si="2"/>
        <v>3285.42</v>
      </c>
      <c r="Q17" s="22"/>
      <c r="R17" s="46">
        <v>3285.42</v>
      </c>
    </row>
    <row r="18" spans="1:18" x14ac:dyDescent="0.25">
      <c r="A18" s="38">
        <v>12</v>
      </c>
      <c r="B18" s="47" t="s">
        <v>7</v>
      </c>
      <c r="C18" s="14">
        <f>7630.6+2123.96</f>
        <v>9754.5600000000013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13923.740000000002</v>
      </c>
      <c r="L18" s="3">
        <v>2514.92</v>
      </c>
      <c r="M18" s="3">
        <v>951.62</v>
      </c>
      <c r="N18" s="2">
        <f t="shared" si="9"/>
        <v>721.98000000000138</v>
      </c>
      <c r="O18" s="2">
        <f t="shared" si="1"/>
        <v>4188.5200000000013</v>
      </c>
      <c r="P18" s="16">
        <f t="shared" si="2"/>
        <v>9735.2200000000012</v>
      </c>
      <c r="Q18" s="22"/>
      <c r="R18" s="46">
        <v>9735.2199999999993</v>
      </c>
    </row>
    <row r="19" spans="1:18" x14ac:dyDescent="0.25">
      <c r="A19" s="38">
        <v>13</v>
      </c>
      <c r="B19" s="47" t="s">
        <v>78</v>
      </c>
      <c r="C19" s="14">
        <v>3235.88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3235.88</v>
      </c>
      <c r="L19" s="3">
        <v>30.89</v>
      </c>
      <c r="M19" s="3">
        <v>281.70999999999998</v>
      </c>
      <c r="N19" s="2">
        <f t="shared" ref="N19" si="11">K19-L19-M19-R19</f>
        <v>8.3500000000003638</v>
      </c>
      <c r="O19" s="2">
        <f t="shared" ref="O19" si="12">SUM(L19:N19)</f>
        <v>320.95000000000033</v>
      </c>
      <c r="P19" s="16">
        <f t="shared" ref="P19" si="13">SUM(K19-O19)</f>
        <v>2914.93</v>
      </c>
      <c r="Q19" s="22"/>
      <c r="R19" s="46">
        <v>2914.93</v>
      </c>
    </row>
    <row r="20" spans="1:18" x14ac:dyDescent="0.25">
      <c r="A20" s="38">
        <v>14</v>
      </c>
      <c r="B20" s="47" t="s">
        <v>8</v>
      </c>
      <c r="C20" s="14">
        <v>4466.84</v>
      </c>
      <c r="D20" s="24"/>
      <c r="E20" s="24"/>
      <c r="F20" s="24"/>
      <c r="G20" s="24"/>
      <c r="H20" s="24"/>
      <c r="I20" s="27"/>
      <c r="J20" s="27"/>
      <c r="K20" s="12">
        <f t="shared" si="8"/>
        <v>4466.84</v>
      </c>
      <c r="L20" s="3">
        <v>215.19</v>
      </c>
      <c r="M20" s="3">
        <v>434.94</v>
      </c>
      <c r="N20" s="2">
        <f t="shared" si="9"/>
        <v>15.700000000000273</v>
      </c>
      <c r="O20" s="2">
        <f t="shared" si="1"/>
        <v>665.83000000000027</v>
      </c>
      <c r="P20" s="16">
        <f t="shared" si="2"/>
        <v>3801.0099999999998</v>
      </c>
      <c r="Q20" s="22"/>
      <c r="R20" s="46">
        <v>3801.01</v>
      </c>
    </row>
    <row r="21" spans="1:18" x14ac:dyDescent="0.25">
      <c r="A21" s="38">
        <v>15</v>
      </c>
      <c r="B21" s="47" t="s">
        <v>82</v>
      </c>
      <c r="C21" s="14">
        <v>4324.45</v>
      </c>
      <c r="D21" s="24"/>
      <c r="E21" s="24"/>
      <c r="F21" s="24"/>
      <c r="G21" s="24"/>
      <c r="H21" s="24"/>
      <c r="I21" s="27"/>
      <c r="J21" s="27"/>
      <c r="K21" s="12">
        <f t="shared" si="8"/>
        <v>4324.45</v>
      </c>
      <c r="L21" s="3">
        <v>183.15</v>
      </c>
      <c r="M21" s="3">
        <v>415</v>
      </c>
      <c r="N21" s="2">
        <f t="shared" ref="N21" si="14">K21-L21-M21-R21</f>
        <v>43.289999999999964</v>
      </c>
      <c r="O21" s="2">
        <f t="shared" ref="O21" si="15">SUM(L21:N21)</f>
        <v>641.43999999999994</v>
      </c>
      <c r="P21" s="16">
        <f t="shared" ref="P21" si="16">SUM(K21-O21)</f>
        <v>3683.0099999999998</v>
      </c>
      <c r="Q21" s="22"/>
      <c r="R21" s="46">
        <v>3683.01</v>
      </c>
    </row>
    <row r="22" spans="1:18" x14ac:dyDescent="0.25">
      <c r="A22" s="38">
        <v>16</v>
      </c>
      <c r="B22" s="47" t="s">
        <v>9</v>
      </c>
      <c r="C22" s="14">
        <f>17680.06+11633.49</f>
        <v>29313.550000000003</v>
      </c>
      <c r="D22" s="24">
        <v>23868.080000000002</v>
      </c>
      <c r="E22" s="24"/>
      <c r="F22" s="24">
        <f>1833.85+611.28</f>
        <v>2445.13</v>
      </c>
      <c r="G22" s="24">
        <f>3667.7+1222.57</f>
        <v>4890.2699999999995</v>
      </c>
      <c r="H22" s="24">
        <v>27507.74</v>
      </c>
      <c r="I22" s="27"/>
      <c r="J22" s="27"/>
      <c r="K22" s="12">
        <f t="shared" si="8"/>
        <v>88024.77</v>
      </c>
      <c r="L22" s="3">
        <f>10972.93+2204.36</f>
        <v>13177.29</v>
      </c>
      <c r="M22" s="3">
        <v>951.62</v>
      </c>
      <c r="N22" s="2">
        <f t="shared" si="9"/>
        <v>42233.300000000017</v>
      </c>
      <c r="O22" s="2">
        <f t="shared" si="1"/>
        <v>56362.210000000021</v>
      </c>
      <c r="P22" s="16">
        <f t="shared" si="2"/>
        <v>31662.559999999983</v>
      </c>
      <c r="Q22" s="22"/>
      <c r="R22" s="46">
        <v>31662.560000000001</v>
      </c>
    </row>
    <row r="23" spans="1:18" x14ac:dyDescent="0.25">
      <c r="A23" s="38">
        <v>17</v>
      </c>
      <c r="B23" s="47" t="s">
        <v>10</v>
      </c>
      <c r="C23" s="14">
        <f>16557.45+5960.68</f>
        <v>22518.13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25829.620000000003</v>
      </c>
      <c r="L23" s="3">
        <v>5893.31</v>
      </c>
      <c r="M23" s="3">
        <v>951.62</v>
      </c>
      <c r="N23" s="2">
        <f t="shared" si="9"/>
        <v>1493.0600000000013</v>
      </c>
      <c r="O23" s="2">
        <f t="shared" si="1"/>
        <v>8337.9900000000016</v>
      </c>
      <c r="P23" s="16">
        <f t="shared" si="2"/>
        <v>17491.63</v>
      </c>
      <c r="Q23" s="22"/>
      <c r="R23" s="46">
        <v>17491.63</v>
      </c>
    </row>
    <row r="24" spans="1:18" x14ac:dyDescent="0.25">
      <c r="A24" s="38">
        <v>18</v>
      </c>
      <c r="B24" s="47" t="s">
        <v>11</v>
      </c>
      <c r="C24" s="14">
        <f>9787.79</f>
        <v>9787.7900000000009</v>
      </c>
      <c r="D24" s="24"/>
      <c r="E24" s="24"/>
      <c r="F24" s="24"/>
      <c r="G24" s="24"/>
      <c r="H24" s="24"/>
      <c r="I24" s="27"/>
      <c r="J24" s="27"/>
      <c r="K24" s="12">
        <f t="shared" si="8"/>
        <v>9787.7900000000009</v>
      </c>
      <c r="L24" s="3">
        <v>1429.67</v>
      </c>
      <c r="M24" s="3">
        <f>778.64+172.98</f>
        <v>951.62</v>
      </c>
      <c r="N24" s="2">
        <f t="shared" si="9"/>
        <v>2185.2300000000005</v>
      </c>
      <c r="O24" s="2">
        <f t="shared" si="1"/>
        <v>4566.5200000000004</v>
      </c>
      <c r="P24" s="16">
        <f t="shared" si="2"/>
        <v>5221.2700000000004</v>
      </c>
      <c r="Q24" s="22"/>
      <c r="R24" s="46">
        <v>5221.2700000000004</v>
      </c>
    </row>
    <row r="25" spans="1:18" x14ac:dyDescent="0.25">
      <c r="A25" s="38">
        <v>19</v>
      </c>
      <c r="B25" s="47" t="s">
        <v>73</v>
      </c>
      <c r="C25" s="14">
        <f>1639.35+590.17</f>
        <v>2229.52</v>
      </c>
      <c r="D25" s="24">
        <v>327.87</v>
      </c>
      <c r="E25" s="24"/>
      <c r="F25" s="24">
        <f>23016.48+7672.16</f>
        <v>30688.639999999999</v>
      </c>
      <c r="G25" s="24"/>
      <c r="H25" s="24"/>
      <c r="I25" s="27"/>
      <c r="J25" s="27"/>
      <c r="K25" s="12">
        <f t="shared" si="8"/>
        <v>33246.03</v>
      </c>
      <c r="L25" s="3">
        <f>8167.25</f>
        <v>8167.25</v>
      </c>
      <c r="M25" s="3">
        <v>951.62</v>
      </c>
      <c r="N25" s="2">
        <f t="shared" si="9"/>
        <v>22776.9</v>
      </c>
      <c r="O25" s="2">
        <f t="shared" si="1"/>
        <v>31895.770000000004</v>
      </c>
      <c r="P25" s="16">
        <f t="shared" si="2"/>
        <v>1350.2599999999948</v>
      </c>
      <c r="Q25" s="22"/>
      <c r="R25" s="46">
        <v>1350.26</v>
      </c>
    </row>
    <row r="26" spans="1:18" x14ac:dyDescent="0.25">
      <c r="A26" s="38">
        <v>20</v>
      </c>
      <c r="B26" s="47" t="s">
        <v>12</v>
      </c>
      <c r="C26" s="14">
        <f>3884.05+1320.58</f>
        <v>5204.63</v>
      </c>
      <c r="D26" s="24"/>
      <c r="E26" s="24"/>
      <c r="F26" s="24">
        <f>5204.62+1734.87</f>
        <v>6939.49</v>
      </c>
      <c r="G26" s="24"/>
      <c r="H26" s="24"/>
      <c r="I26" s="27"/>
      <c r="J26" s="27"/>
      <c r="K26" s="12">
        <f t="shared" si="8"/>
        <v>12144.119999999999</v>
      </c>
      <c r="L26" s="3">
        <f>381.19+745.42</f>
        <v>1126.6099999999999</v>
      </c>
      <c r="M26" s="3">
        <v>951.62</v>
      </c>
      <c r="N26" s="2">
        <f t="shared" si="9"/>
        <v>5873.7899999999972</v>
      </c>
      <c r="O26" s="2">
        <f t="shared" si="1"/>
        <v>7952.0199999999968</v>
      </c>
      <c r="P26" s="16">
        <f>SUM(K26-O26)+H26</f>
        <v>4192.1000000000022</v>
      </c>
      <c r="Q26" s="22"/>
      <c r="R26" s="46">
        <v>4192.1000000000004</v>
      </c>
    </row>
    <row r="27" spans="1:18" x14ac:dyDescent="0.25">
      <c r="A27" s="38">
        <v>21</v>
      </c>
      <c r="B27" s="47" t="s">
        <v>13</v>
      </c>
      <c r="C27" s="14">
        <f>10044.89+1004.49</f>
        <v>11049.38</v>
      </c>
      <c r="D27" s="24"/>
      <c r="E27" s="24"/>
      <c r="F27" s="24"/>
      <c r="G27" s="24"/>
      <c r="H27" s="24"/>
      <c r="I27" s="27"/>
      <c r="J27" s="27"/>
      <c r="K27" s="12">
        <f t="shared" si="8"/>
        <v>11049.38</v>
      </c>
      <c r="L27" s="3">
        <v>1880.88</v>
      </c>
      <c r="M27" s="3">
        <v>951.62</v>
      </c>
      <c r="N27" s="2">
        <f t="shared" si="9"/>
        <v>8.3499999999985448</v>
      </c>
      <c r="O27" s="2">
        <f t="shared" si="1"/>
        <v>2840.8499999999985</v>
      </c>
      <c r="P27" s="16">
        <f t="shared" si="2"/>
        <v>8208.5300000000007</v>
      </c>
      <c r="Q27" s="22"/>
      <c r="R27" s="46">
        <v>8208.5300000000007</v>
      </c>
    </row>
    <row r="28" spans="1:18" x14ac:dyDescent="0.25">
      <c r="A28" s="38">
        <v>22</v>
      </c>
      <c r="B28" s="47" t="s">
        <v>14</v>
      </c>
      <c r="C28" s="14">
        <f>3631.33+1119.11</f>
        <v>4750.4399999999996</v>
      </c>
      <c r="D28" s="24">
        <v>845.13</v>
      </c>
      <c r="E28" s="24"/>
      <c r="F28" s="24">
        <f>4896.13+1632.04</f>
        <v>6528.17</v>
      </c>
      <c r="G28" s="24"/>
      <c r="H28" s="27">
        <v>5245.85</v>
      </c>
      <c r="I28" s="27"/>
      <c r="J28" s="27"/>
      <c r="K28" s="12">
        <f t="shared" si="8"/>
        <v>17369.59</v>
      </c>
      <c r="L28" s="3">
        <f>475.78+596</f>
        <v>1071.78</v>
      </c>
      <c r="M28" s="3">
        <v>951.62</v>
      </c>
      <c r="N28" s="2">
        <f t="shared" si="9"/>
        <v>11225.64</v>
      </c>
      <c r="O28" s="2">
        <f t="shared" si="1"/>
        <v>13249.039999999999</v>
      </c>
      <c r="P28" s="16">
        <f t="shared" si="2"/>
        <v>4120.5500000000011</v>
      </c>
      <c r="Q28" s="22"/>
      <c r="R28" s="46">
        <v>4120.55</v>
      </c>
    </row>
    <row r="29" spans="1:18" x14ac:dyDescent="0.25">
      <c r="A29" s="38">
        <v>23</v>
      </c>
      <c r="B29" s="47" t="s">
        <v>80</v>
      </c>
      <c r="C29" s="14">
        <f>4281.63+42.82</f>
        <v>4324.45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4324.45</v>
      </c>
      <c r="L29" s="3">
        <v>183.15</v>
      </c>
      <c r="M29" s="3">
        <v>415</v>
      </c>
      <c r="N29" s="2">
        <f t="shared" ref="N29" si="18">K29-L29-M29-R29</f>
        <v>43.289999999999964</v>
      </c>
      <c r="O29" s="2">
        <f t="shared" ref="O29" si="19">SUM(L29:N29)</f>
        <v>641.43999999999994</v>
      </c>
      <c r="P29" s="16">
        <f t="shared" ref="P29" si="20">SUM(K29-O29)</f>
        <v>3683.0099999999998</v>
      </c>
      <c r="Q29" s="22"/>
      <c r="R29" s="46">
        <v>3683.01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1520.05</v>
      </c>
      <c r="M30" s="3">
        <v>951.62</v>
      </c>
      <c r="N30" s="2">
        <f t="shared" si="9"/>
        <v>321.42000000000098</v>
      </c>
      <c r="O30" s="2">
        <f t="shared" si="1"/>
        <v>2793.0900000000011</v>
      </c>
      <c r="P30" s="16">
        <f t="shared" si="2"/>
        <v>6944.1799999999994</v>
      </c>
      <c r="Q30" s="22"/>
      <c r="R30" s="46">
        <v>6944.18</v>
      </c>
    </row>
    <row r="31" spans="1:18" x14ac:dyDescent="0.25">
      <c r="A31" s="38">
        <v>25</v>
      </c>
      <c r="B31" s="47" t="s">
        <v>56</v>
      </c>
      <c r="C31" s="14">
        <f>6812.31+408.74</f>
        <v>7221.05</v>
      </c>
      <c r="D31" s="24"/>
      <c r="E31" s="24"/>
      <c r="F31" s="24"/>
      <c r="G31" s="24"/>
      <c r="H31" s="24"/>
      <c r="I31" s="27"/>
      <c r="J31" s="27"/>
      <c r="K31" s="12">
        <f>SUM(C31:I31)</f>
        <v>7221.05</v>
      </c>
      <c r="L31" s="3">
        <v>864.14</v>
      </c>
      <c r="M31" s="3">
        <v>820.53</v>
      </c>
      <c r="N31" s="2">
        <f t="shared" ref="N31" si="21">K31-L31-M31-R31</f>
        <v>43.289999999999964</v>
      </c>
      <c r="O31" s="2">
        <f t="shared" ref="O31" si="22">SUM(L31:N31)</f>
        <v>1727.96</v>
      </c>
      <c r="P31" s="16">
        <f>SUM(K31-O31)+H31</f>
        <v>5493.09</v>
      </c>
      <c r="Q31" s="22"/>
      <c r="R31" s="46">
        <v>5493.09</v>
      </c>
    </row>
    <row r="32" spans="1:18" x14ac:dyDescent="0.25">
      <c r="A32" s="38">
        <v>26</v>
      </c>
      <c r="B32" s="47" t="s">
        <v>16</v>
      </c>
      <c r="C32" s="14">
        <f>3290.6+822.65</f>
        <v>4113.25</v>
      </c>
      <c r="D32" s="24"/>
      <c r="E32" s="24"/>
      <c r="F32" s="24"/>
      <c r="G32" s="24"/>
      <c r="H32" s="24"/>
      <c r="I32" s="27"/>
      <c r="J32" s="27"/>
      <c r="K32" s="12">
        <f>SUM(C32:I32)</f>
        <v>4113.25</v>
      </c>
      <c r="L32" s="3">
        <v>150.83000000000001</v>
      </c>
      <c r="M32" s="3">
        <v>386.99</v>
      </c>
      <c r="N32" s="2">
        <f t="shared" si="9"/>
        <v>819.45000000000027</v>
      </c>
      <c r="O32" s="2">
        <f t="shared" si="1"/>
        <v>1357.2700000000004</v>
      </c>
      <c r="P32" s="16">
        <f>SUM(K32-O32)+H32</f>
        <v>2755.9799999999996</v>
      </c>
      <c r="Q32" s="22"/>
      <c r="R32" s="46">
        <v>2755.98</v>
      </c>
    </row>
    <row r="33" spans="1:18" x14ac:dyDescent="0.25">
      <c r="A33" s="38">
        <v>27</v>
      </c>
      <c r="B33" s="47" t="s">
        <v>83</v>
      </c>
      <c r="C33" s="14">
        <v>4281.63</v>
      </c>
      <c r="D33" s="24"/>
      <c r="E33" s="24"/>
      <c r="F33" s="24"/>
      <c r="G33" s="24"/>
      <c r="H33" s="24"/>
      <c r="I33" s="27"/>
      <c r="J33" s="27"/>
      <c r="K33" s="12">
        <f>SUM(C33:I33)</f>
        <v>4281.63</v>
      </c>
      <c r="L33" s="3">
        <v>176.08</v>
      </c>
      <c r="M33" s="3">
        <v>409.01</v>
      </c>
      <c r="N33" s="2">
        <f t="shared" ref="N33:N34" si="23">K33-L33-M33-R33</f>
        <v>43.289999999999964</v>
      </c>
      <c r="O33" s="2">
        <f t="shared" ref="O33:O34" si="24">SUM(L33:N33)</f>
        <v>628.38</v>
      </c>
      <c r="P33" s="16">
        <f>SUM(K33-O33)+H33</f>
        <v>3653.25</v>
      </c>
      <c r="Q33" s="22"/>
      <c r="R33" s="46">
        <v>3653.25</v>
      </c>
    </row>
    <row r="34" spans="1:18" x14ac:dyDescent="0.25">
      <c r="A34" s="38">
        <v>28</v>
      </c>
      <c r="B34" s="47" t="s">
        <v>84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409.01</v>
      </c>
      <c r="N34" s="2">
        <f t="shared" si="23"/>
        <v>43.289999999999964</v>
      </c>
      <c r="O34" s="2">
        <f t="shared" si="24"/>
        <v>628.38</v>
      </c>
      <c r="P34" s="16">
        <f>SUM(K34-O34)+H34</f>
        <v>3653.25</v>
      </c>
      <c r="Q34" s="22"/>
      <c r="R34" s="46">
        <v>3653.25</v>
      </c>
    </row>
    <row r="35" spans="1:18" x14ac:dyDescent="0.25">
      <c r="A35" s="38">
        <v>29</v>
      </c>
      <c r="B35" s="47" t="s">
        <v>17</v>
      </c>
      <c r="C35" s="14">
        <f>5241.21+1006.31</f>
        <v>6247.52</v>
      </c>
      <c r="D35" s="24">
        <v>1048.24</v>
      </c>
      <c r="E35" s="24"/>
      <c r="F35" s="24">
        <f>3647.88+1215.96</f>
        <v>4863.84</v>
      </c>
      <c r="G35" s="24"/>
      <c r="H35" s="24">
        <v>5471.83</v>
      </c>
      <c r="I35" s="27"/>
      <c r="J35" s="27"/>
      <c r="K35" s="12">
        <f>SUM(C35:I35)</f>
        <v>17631.43</v>
      </c>
      <c r="L35" s="3">
        <f>955.01+304.51</f>
        <v>1259.52</v>
      </c>
      <c r="M35" s="3">
        <v>951.62</v>
      </c>
      <c r="N35" s="2">
        <f t="shared" si="9"/>
        <v>9608.93</v>
      </c>
      <c r="O35" s="2">
        <f t="shared" si="1"/>
        <v>11820.07</v>
      </c>
      <c r="P35" s="16">
        <f t="shared" si="2"/>
        <v>5811.3600000000006</v>
      </c>
      <c r="Q35" s="22"/>
      <c r="R35" s="46">
        <v>5811.36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2" si="25">SUM(C36:I36)</f>
        <v>25180.43</v>
      </c>
      <c r="L36" s="3">
        <v>5766.92</v>
      </c>
      <c r="M36" s="3">
        <v>951.62</v>
      </c>
      <c r="N36" s="2">
        <f t="shared" si="9"/>
        <v>260.00000000000364</v>
      </c>
      <c r="O36" s="2">
        <f t="shared" si="1"/>
        <v>6978.5400000000036</v>
      </c>
      <c r="P36" s="16">
        <f t="shared" si="2"/>
        <v>18201.889999999996</v>
      </c>
      <c r="Q36" s="22"/>
      <c r="R36" s="46">
        <v>18201.89</v>
      </c>
    </row>
    <row r="37" spans="1:18" x14ac:dyDescent="0.25">
      <c r="A37" s="38">
        <v>31</v>
      </c>
      <c r="B37" s="47" t="s">
        <v>86</v>
      </c>
      <c r="C37" s="14">
        <v>0</v>
      </c>
      <c r="D37" s="24">
        <v>0</v>
      </c>
      <c r="E37" s="24"/>
      <c r="F37" s="24"/>
      <c r="G37" s="24"/>
      <c r="H37" s="24"/>
      <c r="I37" s="27"/>
      <c r="J37" s="27"/>
      <c r="K37" s="12">
        <f t="shared" si="25"/>
        <v>0</v>
      </c>
      <c r="L37" s="3">
        <v>0</v>
      </c>
      <c r="M37" s="3">
        <v>0</v>
      </c>
      <c r="N37" s="2">
        <f t="shared" ref="N37" si="26">K37-L37-M37-R37</f>
        <v>0</v>
      </c>
      <c r="O37" s="2">
        <f t="shared" ref="O37" si="27">SUM(L37:N37)</f>
        <v>0</v>
      </c>
      <c r="P37" s="16">
        <f t="shared" ref="P37" si="28">SUM(K37-O37)</f>
        <v>0</v>
      </c>
      <c r="Q37" s="22"/>
      <c r="R37" s="46">
        <v>0</v>
      </c>
    </row>
    <row r="38" spans="1:18" x14ac:dyDescent="0.25">
      <c r="A38" s="38">
        <v>32</v>
      </c>
      <c r="B38" s="47" t="s">
        <v>57</v>
      </c>
      <c r="C38" s="14">
        <f>6110.72+1099.93</f>
        <v>7210.6500000000005</v>
      </c>
      <c r="D38" s="24">
        <v>1222.1400000000001</v>
      </c>
      <c r="E38" s="24"/>
      <c r="F38" s="24">
        <f>1686.56+562.19</f>
        <v>2248.75</v>
      </c>
      <c r="G38" s="24"/>
      <c r="H38" s="24">
        <v>5059.67</v>
      </c>
      <c r="I38" s="27"/>
      <c r="J38" s="27"/>
      <c r="K38" s="12">
        <f t="shared" si="25"/>
        <v>15741.210000000001</v>
      </c>
      <c r="L38" s="3">
        <v>1210.71</v>
      </c>
      <c r="M38" s="3">
        <v>951.62</v>
      </c>
      <c r="N38" s="2">
        <f t="shared" si="9"/>
        <v>8892.3299999999981</v>
      </c>
      <c r="O38" s="2">
        <f t="shared" si="1"/>
        <v>11054.659999999998</v>
      </c>
      <c r="P38" s="16">
        <f t="shared" si="2"/>
        <v>4686.5500000000029</v>
      </c>
      <c r="Q38" s="22"/>
      <c r="R38" s="46">
        <v>4686.55</v>
      </c>
    </row>
    <row r="39" spans="1:18" x14ac:dyDescent="0.25">
      <c r="A39" s="38">
        <v>33</v>
      </c>
      <c r="B39" s="47" t="s">
        <v>19</v>
      </c>
      <c r="C39" s="14">
        <f>6811.84+1009.11</f>
        <v>7820.95</v>
      </c>
      <c r="D39" s="24">
        <f>1362.37+999.53</f>
        <v>2361.8999999999996</v>
      </c>
      <c r="E39" s="24"/>
      <c r="F39" s="24">
        <f>312.88+104.29</f>
        <v>417.17</v>
      </c>
      <c r="G39" s="24">
        <f>156.44+52.15</f>
        <v>208.59</v>
      </c>
      <c r="H39" s="24"/>
      <c r="I39" s="27"/>
      <c r="J39" s="27"/>
      <c r="K39" s="12">
        <f t="shared" si="25"/>
        <v>10808.609999999999</v>
      </c>
      <c r="L39" s="3">
        <v>1551.4</v>
      </c>
      <c r="M39" s="3">
        <v>951.62</v>
      </c>
      <c r="N39" s="2">
        <f t="shared" si="9"/>
        <v>3568.9399999999987</v>
      </c>
      <c r="O39" s="2">
        <f t="shared" si="1"/>
        <v>6071.9599999999991</v>
      </c>
      <c r="P39" s="16">
        <f>SUM(K39-O39)+H39</f>
        <v>4736.6499999999996</v>
      </c>
      <c r="Q39" s="22"/>
      <c r="R39" s="46">
        <v>4736.6499999999996</v>
      </c>
    </row>
    <row r="40" spans="1:18" x14ac:dyDescent="0.25">
      <c r="A40" s="38">
        <v>34</v>
      </c>
      <c r="B40" s="47" t="s">
        <v>54</v>
      </c>
      <c r="C40" s="14">
        <f>3320.77+232.45</f>
        <v>3553.22</v>
      </c>
      <c r="D40" s="24"/>
      <c r="E40" s="24"/>
      <c r="F40" s="24">
        <f>122.53+40.84</f>
        <v>163.37</v>
      </c>
      <c r="G40" s="24"/>
      <c r="H40" s="24">
        <v>1837.88</v>
      </c>
      <c r="I40" s="27"/>
      <c r="J40" s="27"/>
      <c r="K40" s="12">
        <f t="shared" si="25"/>
        <v>5554.4699999999993</v>
      </c>
      <c r="L40" s="3">
        <v>66.819999999999993</v>
      </c>
      <c r="M40" s="3">
        <f>325.71+13.68</f>
        <v>339.39</v>
      </c>
      <c r="N40" s="2">
        <f t="shared" ref="N40" si="29">K40-L40-M40-R40</f>
        <v>2048.0399999999995</v>
      </c>
      <c r="O40" s="2">
        <f t="shared" ref="O40" si="30">SUM(L40:N40)</f>
        <v>2454.2499999999995</v>
      </c>
      <c r="P40" s="16">
        <f t="shared" ref="P40" si="31">SUM(K40-O40)</f>
        <v>3100.22</v>
      </c>
      <c r="Q40" s="22"/>
      <c r="R40" s="46">
        <v>3100.22</v>
      </c>
    </row>
    <row r="41" spans="1:18" x14ac:dyDescent="0.25">
      <c r="A41" s="38">
        <v>35</v>
      </c>
      <c r="B41" s="47" t="s">
        <v>20</v>
      </c>
      <c r="C41" s="14">
        <f>4584.39+754.87</f>
        <v>5339.26</v>
      </c>
      <c r="D41" s="24">
        <v>448.06</v>
      </c>
      <c r="E41" s="24"/>
      <c r="F41" s="24"/>
      <c r="G41" s="24"/>
      <c r="H41" s="24"/>
      <c r="I41" s="27"/>
      <c r="J41" s="27"/>
      <c r="K41" s="12">
        <f t="shared" si="25"/>
        <v>5787.3200000000006</v>
      </c>
      <c r="L41" s="3">
        <v>525.07000000000005</v>
      </c>
      <c r="M41" s="3">
        <v>619.79999999999995</v>
      </c>
      <c r="N41" s="2">
        <f t="shared" si="9"/>
        <v>301.8700000000008</v>
      </c>
      <c r="O41" s="2">
        <f t="shared" si="1"/>
        <v>1446.7400000000007</v>
      </c>
      <c r="P41" s="16">
        <f t="shared" si="2"/>
        <v>4340.58</v>
      </c>
      <c r="Q41" s="22"/>
      <c r="R41" s="46">
        <v>4340.58</v>
      </c>
    </row>
    <row r="42" spans="1:18" x14ac:dyDescent="0.25">
      <c r="A42" s="38">
        <v>36</v>
      </c>
      <c r="B42" s="47" t="s">
        <v>21</v>
      </c>
      <c r="C42" s="14">
        <f>17402.04+6055.91</f>
        <v>23457.95</v>
      </c>
      <c r="D42" s="24">
        <v>3480.41</v>
      </c>
      <c r="E42" s="24"/>
      <c r="F42" s="24"/>
      <c r="G42" s="24"/>
      <c r="H42" s="24"/>
      <c r="I42" s="27"/>
      <c r="J42" s="27"/>
      <c r="K42" s="12">
        <f t="shared" si="25"/>
        <v>26938.36</v>
      </c>
      <c r="L42" s="3">
        <v>6146.08</v>
      </c>
      <c r="M42" s="3">
        <v>951.62</v>
      </c>
      <c r="N42" s="2">
        <f t="shared" si="9"/>
        <v>92.349999999998545</v>
      </c>
      <c r="O42" s="2">
        <f t="shared" si="1"/>
        <v>7190.0499999999984</v>
      </c>
      <c r="P42" s="16">
        <f t="shared" si="2"/>
        <v>19748.310000000001</v>
      </c>
      <c r="Q42" s="22"/>
      <c r="R42" s="46">
        <v>19748.310000000001</v>
      </c>
    </row>
    <row r="43" spans="1:18" x14ac:dyDescent="0.25">
      <c r="A43" s="38">
        <v>37</v>
      </c>
      <c r="B43" s="48" t="s">
        <v>22</v>
      </c>
      <c r="C43" s="29">
        <f>3466.87+520.03</f>
        <v>3986.8999999999996</v>
      </c>
      <c r="D43" s="25"/>
      <c r="E43" s="25"/>
      <c r="F43" s="25"/>
      <c r="G43" s="24"/>
      <c r="H43" s="24"/>
      <c r="I43" s="27"/>
      <c r="J43" s="27"/>
      <c r="K43" s="30">
        <f t="shared" ref="K43:K52" si="32">SUM(C43:I43)</f>
        <v>3986.8999999999996</v>
      </c>
      <c r="L43" s="31">
        <v>131.88</v>
      </c>
      <c r="M43" s="31">
        <v>371.83</v>
      </c>
      <c r="N43" s="32">
        <f t="shared" ref="N43:N64" si="33">K43-L43-M43-R43</f>
        <v>306.55999999999949</v>
      </c>
      <c r="O43" s="32">
        <f t="shared" si="1"/>
        <v>810.26999999999953</v>
      </c>
      <c r="P43" s="33">
        <f t="shared" si="2"/>
        <v>3176.63</v>
      </c>
      <c r="Q43" s="22"/>
      <c r="R43" s="46">
        <v>3176.63</v>
      </c>
    </row>
    <row r="44" spans="1:18" x14ac:dyDescent="0.25">
      <c r="A44" s="38">
        <v>38</v>
      </c>
      <c r="B44" s="48" t="s">
        <v>75</v>
      </c>
      <c r="C44" s="29">
        <f>4455.48+89.11</f>
        <v>4544.5899999999992</v>
      </c>
      <c r="D44" s="25"/>
      <c r="E44" s="25"/>
      <c r="F44" s="25"/>
      <c r="G44" s="24"/>
      <c r="H44" s="24"/>
      <c r="I44" s="27"/>
      <c r="J44" s="27"/>
      <c r="K44" s="30">
        <f t="shared" ref="K44" si="34">SUM(C44:I44)</f>
        <v>4544.5899999999992</v>
      </c>
      <c r="L44" s="31">
        <v>216.8</v>
      </c>
      <c r="M44" s="31">
        <v>445.82</v>
      </c>
      <c r="N44" s="32">
        <f t="shared" ref="N44" si="35">K44-L44-M44-R44</f>
        <v>219.94999999999891</v>
      </c>
      <c r="O44" s="32">
        <f t="shared" ref="O44" si="36">SUM(L44:N44)</f>
        <v>882.56999999999891</v>
      </c>
      <c r="P44" s="33">
        <f t="shared" ref="P44" si="37">SUM(K44-O44)</f>
        <v>3662.0200000000004</v>
      </c>
      <c r="Q44" s="22"/>
      <c r="R44" s="46">
        <v>3662.02</v>
      </c>
    </row>
    <row r="45" spans="1:18" x14ac:dyDescent="0.25">
      <c r="A45" s="38">
        <v>39</v>
      </c>
      <c r="B45" s="47" t="s">
        <v>23</v>
      </c>
      <c r="C45" s="14">
        <f>5538.43+1643.11</f>
        <v>7181.54</v>
      </c>
      <c r="D45" s="24">
        <v>1034</v>
      </c>
      <c r="E45" s="24"/>
      <c r="F45" s="24"/>
      <c r="G45" s="24"/>
      <c r="H45" s="24"/>
      <c r="I45" s="27"/>
      <c r="J45" s="27"/>
      <c r="K45" s="12">
        <f t="shared" si="32"/>
        <v>8215.5400000000009</v>
      </c>
      <c r="L45" s="3">
        <v>1101.58</v>
      </c>
      <c r="M45" s="3">
        <v>951.62</v>
      </c>
      <c r="N45" s="2">
        <f t="shared" si="33"/>
        <v>861.95000000000073</v>
      </c>
      <c r="O45" s="2">
        <f t="shared" si="1"/>
        <v>2915.1500000000005</v>
      </c>
      <c r="P45" s="16">
        <f t="shared" si="2"/>
        <v>5300.39</v>
      </c>
      <c r="Q45" s="22"/>
      <c r="R45" s="46">
        <v>5300.39</v>
      </c>
    </row>
    <row r="46" spans="1:18" x14ac:dyDescent="0.25">
      <c r="A46" s="38">
        <v>40</v>
      </c>
      <c r="B46" s="47" t="s">
        <v>24</v>
      </c>
      <c r="C46" s="14">
        <f>11206.77+2017.22</f>
        <v>13223.99</v>
      </c>
      <c r="D46" s="24"/>
      <c r="E46" s="24"/>
      <c r="F46" s="24"/>
      <c r="G46" s="24"/>
      <c r="H46" s="24"/>
      <c r="I46" s="27">
        <v>2067.4899999999998</v>
      </c>
      <c r="J46" s="27"/>
      <c r="K46" s="12">
        <f t="shared" si="32"/>
        <v>15291.48</v>
      </c>
      <c r="L46" s="3">
        <v>2995.32</v>
      </c>
      <c r="M46" s="3">
        <v>951.62</v>
      </c>
      <c r="N46" s="2">
        <f t="shared" si="33"/>
        <v>890.94999999999891</v>
      </c>
      <c r="O46" s="2">
        <f t="shared" si="1"/>
        <v>4837.8899999999994</v>
      </c>
      <c r="P46" s="16">
        <f t="shared" si="2"/>
        <v>10453.59</v>
      </c>
      <c r="Q46" s="22"/>
      <c r="R46" s="46">
        <v>10453.59</v>
      </c>
    </row>
    <row r="47" spans="1:18" x14ac:dyDescent="0.25">
      <c r="A47" s="38">
        <v>41</v>
      </c>
      <c r="B47" s="47" t="s">
        <v>25</v>
      </c>
      <c r="C47" s="14">
        <f>7979.45+4259.75</f>
        <v>12239.2</v>
      </c>
      <c r="D47" s="24">
        <v>7233.96</v>
      </c>
      <c r="E47" s="24"/>
      <c r="F47" s="24"/>
      <c r="G47" s="24"/>
      <c r="H47" s="24"/>
      <c r="I47" s="27"/>
      <c r="J47" s="27"/>
      <c r="K47" s="12">
        <f t="shared" si="32"/>
        <v>19473.16</v>
      </c>
      <c r="L47" s="3">
        <v>4197.42</v>
      </c>
      <c r="M47" s="3">
        <f>536.21+415.41</f>
        <v>951.62000000000012</v>
      </c>
      <c r="N47" s="2">
        <f>K47-L47-M47-R47</f>
        <v>1259.3899999999994</v>
      </c>
      <c r="O47" s="2">
        <f>SUM(L47:N47)</f>
        <v>6408.4299999999994</v>
      </c>
      <c r="P47" s="16">
        <f t="shared" si="2"/>
        <v>13064.73</v>
      </c>
      <c r="Q47" s="22"/>
      <c r="R47" s="46">
        <v>13064.73</v>
      </c>
    </row>
    <row r="48" spans="1:18" x14ac:dyDescent="0.25">
      <c r="A48" s="38">
        <v>42</v>
      </c>
      <c r="B48" s="47" t="s">
        <v>26</v>
      </c>
      <c r="C48" s="14">
        <f>7706.91+1664.69</f>
        <v>9371.6</v>
      </c>
      <c r="D48" s="24">
        <v>1541.38</v>
      </c>
      <c r="E48" s="24"/>
      <c r="F48" s="24"/>
      <c r="G48" s="24"/>
      <c r="H48" s="24"/>
      <c r="I48" s="27"/>
      <c r="J48" s="27"/>
      <c r="K48" s="12">
        <f t="shared" si="32"/>
        <v>10912.98</v>
      </c>
      <c r="L48" s="3">
        <v>1739.1</v>
      </c>
      <c r="M48" s="3">
        <v>951.62</v>
      </c>
      <c r="N48" s="2">
        <f t="shared" si="33"/>
        <v>606.46999999999844</v>
      </c>
      <c r="O48" s="2">
        <f t="shared" si="1"/>
        <v>3297.1899999999982</v>
      </c>
      <c r="P48" s="16">
        <f t="shared" si="2"/>
        <v>7615.7900000000009</v>
      </c>
      <c r="Q48" s="22"/>
      <c r="R48" s="46">
        <v>7615.79</v>
      </c>
    </row>
    <row r="49" spans="1:18" x14ac:dyDescent="0.25">
      <c r="A49" s="38">
        <v>43</v>
      </c>
      <c r="B49" s="47" t="s">
        <v>81</v>
      </c>
      <c r="C49" s="14">
        <f>3172.43+63.45</f>
        <v>3235.8799999999997</v>
      </c>
      <c r="D49" s="24"/>
      <c r="E49" s="24"/>
      <c r="F49" s="24"/>
      <c r="G49" s="24"/>
      <c r="H49" s="24"/>
      <c r="I49" s="27"/>
      <c r="J49" s="27"/>
      <c r="K49" s="12">
        <f t="shared" si="32"/>
        <v>3235.8799999999997</v>
      </c>
      <c r="L49" s="3">
        <v>30.89</v>
      </c>
      <c r="M49" s="3">
        <v>281.70999999999998</v>
      </c>
      <c r="N49" s="2">
        <f t="shared" ref="N49" si="38">K49-L49-M49-R49</f>
        <v>55.409999999999854</v>
      </c>
      <c r="O49" s="2">
        <f t="shared" ref="O49" si="39">SUM(L49:N49)</f>
        <v>368.00999999999982</v>
      </c>
      <c r="P49" s="16">
        <f t="shared" ref="P49" si="40">SUM(K49-O49)</f>
        <v>2867.87</v>
      </c>
      <c r="Q49" s="22"/>
      <c r="R49" s="46">
        <v>2867.87</v>
      </c>
    </row>
    <row r="50" spans="1:18" x14ac:dyDescent="0.25">
      <c r="A50" s="38">
        <v>44</v>
      </c>
      <c r="B50" s="47" t="s">
        <v>27</v>
      </c>
      <c r="C50" s="14">
        <v>10768.16</v>
      </c>
      <c r="D50" s="24"/>
      <c r="E50" s="24"/>
      <c r="F50" s="24"/>
      <c r="G50" s="24"/>
      <c r="H50" s="24"/>
      <c r="I50" s="27"/>
      <c r="J50" s="27"/>
      <c r="K50" s="12">
        <f t="shared" si="32"/>
        <v>10768.16</v>
      </c>
      <c r="L50" s="3">
        <v>1751.41</v>
      </c>
      <c r="M50" s="3">
        <f>786.85+164.77</f>
        <v>951.62</v>
      </c>
      <c r="N50" s="2">
        <f t="shared" si="33"/>
        <v>2100.0299999999997</v>
      </c>
      <c r="O50" s="2">
        <f t="shared" si="1"/>
        <v>4803.0599999999995</v>
      </c>
      <c r="P50" s="16">
        <f>SUM(K50-O50)+H50</f>
        <v>5965.1</v>
      </c>
      <c r="Q50" s="22"/>
      <c r="R50" s="46">
        <v>5965.1</v>
      </c>
    </row>
    <row r="51" spans="1:18" x14ac:dyDescent="0.25">
      <c r="A51" s="38">
        <v>45</v>
      </c>
      <c r="B51" s="47" t="s">
        <v>28</v>
      </c>
      <c r="C51" s="14">
        <f>7480.25+1346.45</f>
        <v>8826.7000000000007</v>
      </c>
      <c r="D51" s="24">
        <v>1496.05</v>
      </c>
      <c r="E51" s="24"/>
      <c r="F51" s="24"/>
      <c r="G51" s="24"/>
      <c r="H51" s="24"/>
      <c r="I51" s="27"/>
      <c r="J51" s="27"/>
      <c r="K51" s="12">
        <f t="shared" si="32"/>
        <v>10322.75</v>
      </c>
      <c r="L51" s="3">
        <v>1681.06</v>
      </c>
      <c r="M51" s="3">
        <v>951.62</v>
      </c>
      <c r="N51" s="2">
        <f t="shared" si="33"/>
        <v>379.11000000000058</v>
      </c>
      <c r="O51" s="2">
        <f t="shared" si="1"/>
        <v>3011.7900000000004</v>
      </c>
      <c r="P51" s="16">
        <f>SUM(K51-O51)+H51</f>
        <v>7310.9599999999991</v>
      </c>
      <c r="Q51" s="22"/>
      <c r="R51" s="46">
        <v>7310.96</v>
      </c>
    </row>
    <row r="52" spans="1:18" x14ac:dyDescent="0.25">
      <c r="A52" s="38">
        <v>46</v>
      </c>
      <c r="B52" s="47" t="s">
        <v>29</v>
      </c>
      <c r="C52" s="14">
        <v>4185.03</v>
      </c>
      <c r="D52" s="24"/>
      <c r="E52" s="24"/>
      <c r="F52" s="24"/>
      <c r="G52" s="24"/>
      <c r="H52" s="24"/>
      <c r="I52" s="27"/>
      <c r="J52" s="27"/>
      <c r="K52" s="12">
        <f t="shared" si="32"/>
        <v>4185.03</v>
      </c>
      <c r="L52" s="3">
        <v>158.54</v>
      </c>
      <c r="M52" s="3">
        <v>395.6</v>
      </c>
      <c r="N52" s="2">
        <f t="shared" si="33"/>
        <v>1312.17</v>
      </c>
      <c r="O52" s="2">
        <f t="shared" si="1"/>
        <v>1866.31</v>
      </c>
      <c r="P52" s="16">
        <f t="shared" si="2"/>
        <v>2318.7199999999998</v>
      </c>
      <c r="Q52" s="22"/>
      <c r="R52" s="46">
        <v>2318.7199999999998</v>
      </c>
    </row>
    <row r="53" spans="1:18" x14ac:dyDescent="0.25">
      <c r="A53" s="38">
        <v>47</v>
      </c>
      <c r="B53" s="47" t="s">
        <v>30</v>
      </c>
      <c r="C53" s="14">
        <f>7406.19+1658.99</f>
        <v>9065.18</v>
      </c>
      <c r="D53" s="24">
        <v>2962.48</v>
      </c>
      <c r="E53" s="24"/>
      <c r="F53" s="24"/>
      <c r="G53" s="24"/>
      <c r="H53" s="24"/>
      <c r="I53" s="27"/>
      <c r="J53" s="27"/>
      <c r="K53" s="12">
        <f t="shared" ref="K53:K61" si="41">SUM(C53:I53)</f>
        <v>12027.66</v>
      </c>
      <c r="L53" s="3">
        <v>2097.77</v>
      </c>
      <c r="M53" s="3">
        <f>19.46+932.16</f>
        <v>951.62</v>
      </c>
      <c r="N53" s="2">
        <f t="shared" si="33"/>
        <v>278.94999999999891</v>
      </c>
      <c r="O53" s="2">
        <f t="shared" si="1"/>
        <v>3328.3399999999988</v>
      </c>
      <c r="P53" s="16">
        <f t="shared" si="2"/>
        <v>8699.3200000000015</v>
      </c>
      <c r="Q53" s="22"/>
      <c r="R53" s="46">
        <v>8699.32</v>
      </c>
    </row>
    <row r="54" spans="1:18" x14ac:dyDescent="0.25">
      <c r="A54" s="38">
        <v>48</v>
      </c>
      <c r="B54" s="47" t="s">
        <v>31</v>
      </c>
      <c r="C54" s="14">
        <f>7678.02+1111.52</f>
        <v>8789.5400000000009</v>
      </c>
      <c r="D54" s="24">
        <v>1584.61</v>
      </c>
      <c r="E54" s="24"/>
      <c r="F54" s="24"/>
      <c r="G54" s="24"/>
      <c r="H54" s="24"/>
      <c r="I54" s="27"/>
      <c r="J54" s="27"/>
      <c r="K54" s="12">
        <f t="shared" si="41"/>
        <v>10374.150000000001</v>
      </c>
      <c r="L54" s="3">
        <v>1643.06</v>
      </c>
      <c r="M54" s="3">
        <f>766.91+184.71</f>
        <v>951.62</v>
      </c>
      <c r="N54" s="2">
        <f t="shared" si="33"/>
        <v>1064.0600000000022</v>
      </c>
      <c r="O54" s="2">
        <f t="shared" si="1"/>
        <v>3658.7400000000021</v>
      </c>
      <c r="P54" s="16">
        <f t="shared" si="2"/>
        <v>6715.41</v>
      </c>
      <c r="Q54" s="22"/>
      <c r="R54" s="46">
        <v>6715.41</v>
      </c>
    </row>
    <row r="55" spans="1:18" x14ac:dyDescent="0.25">
      <c r="A55" s="38">
        <v>49</v>
      </c>
      <c r="B55" s="47" t="s">
        <v>53</v>
      </c>
      <c r="C55" s="14">
        <v>3675.75</v>
      </c>
      <c r="D55" s="24"/>
      <c r="E55" s="24"/>
      <c r="F55" s="24"/>
      <c r="G55" s="24"/>
      <c r="H55" s="24"/>
      <c r="I55" s="27"/>
      <c r="J55" s="27"/>
      <c r="K55" s="12">
        <f t="shared" si="41"/>
        <v>3675.75</v>
      </c>
      <c r="L55" s="3">
        <v>85.2</v>
      </c>
      <c r="M55" s="3">
        <v>334.49</v>
      </c>
      <c r="N55" s="2">
        <f t="shared" ref="N55" si="42">K55-L55-M55-R55</f>
        <v>288.19000000000051</v>
      </c>
      <c r="O55" s="2">
        <f t="shared" ref="O55" si="43">SUM(L55:N55)</f>
        <v>707.88000000000056</v>
      </c>
      <c r="P55" s="16">
        <f t="shared" ref="P55" si="44">SUM(K55-O55)</f>
        <v>2967.8699999999994</v>
      </c>
      <c r="Q55" s="22"/>
      <c r="R55" s="46">
        <v>2967.87</v>
      </c>
    </row>
    <row r="56" spans="1:18" x14ac:dyDescent="0.25">
      <c r="A56" s="38">
        <v>50</v>
      </c>
      <c r="B56" s="47" t="s">
        <v>32</v>
      </c>
      <c r="C56" s="14">
        <f>17229.74+6616.22</f>
        <v>23845.960000000003</v>
      </c>
      <c r="D56" s="24">
        <v>3445.95</v>
      </c>
      <c r="E56" s="24"/>
      <c r="F56" s="24"/>
      <c r="G56" s="24"/>
      <c r="H56" s="24"/>
      <c r="I56" s="27"/>
      <c r="J56" s="27"/>
      <c r="K56" s="12">
        <f t="shared" si="41"/>
        <v>27291.910000000003</v>
      </c>
      <c r="L56" s="3">
        <v>6347.58</v>
      </c>
      <c r="M56" s="3">
        <v>951.62</v>
      </c>
      <c r="N56" s="2">
        <f t="shared" si="33"/>
        <v>360.72000000000116</v>
      </c>
      <c r="O56" s="2">
        <f t="shared" si="1"/>
        <v>7659.920000000001</v>
      </c>
      <c r="P56" s="16">
        <f>SUM(K56-O56)+H56</f>
        <v>19631.990000000002</v>
      </c>
      <c r="Q56" s="22"/>
      <c r="R56" s="46">
        <v>19631.990000000002</v>
      </c>
    </row>
    <row r="57" spans="1:18" x14ac:dyDescent="0.25">
      <c r="A57" s="38">
        <v>51</v>
      </c>
      <c r="B57" s="47" t="s">
        <v>33</v>
      </c>
      <c r="C57" s="14">
        <f>3501.54+630.28</f>
        <v>4131.82</v>
      </c>
      <c r="D57" s="24"/>
      <c r="E57" s="24"/>
      <c r="F57" s="24"/>
      <c r="G57" s="24"/>
      <c r="H57" s="24"/>
      <c r="I57" s="27"/>
      <c r="J57" s="27"/>
      <c r="K57" s="12">
        <f t="shared" si="41"/>
        <v>4131.82</v>
      </c>
      <c r="L57" s="3">
        <v>153.61000000000001</v>
      </c>
      <c r="M57" s="3">
        <v>389.22</v>
      </c>
      <c r="N57" s="2">
        <f t="shared" si="33"/>
        <v>50.819999999999709</v>
      </c>
      <c r="O57" s="2">
        <f t="shared" si="1"/>
        <v>593.64999999999975</v>
      </c>
      <c r="P57" s="16">
        <f t="shared" si="2"/>
        <v>3538.17</v>
      </c>
      <c r="Q57" s="22"/>
      <c r="R57" s="46">
        <v>3538.17</v>
      </c>
    </row>
    <row r="58" spans="1:18" x14ac:dyDescent="0.25">
      <c r="A58" s="38">
        <v>52</v>
      </c>
      <c r="B58" s="47" t="s">
        <v>71</v>
      </c>
      <c r="C58" s="14">
        <f>4411.37+179.88</f>
        <v>4591.25</v>
      </c>
      <c r="D58" s="24">
        <v>1584.61</v>
      </c>
      <c r="E58" s="24"/>
      <c r="F58" s="24"/>
      <c r="G58" s="24"/>
      <c r="H58" s="24"/>
      <c r="I58" s="27"/>
      <c r="J58" s="27"/>
      <c r="K58" s="12">
        <f t="shared" si="41"/>
        <v>6175.86</v>
      </c>
      <c r="L58" s="3">
        <v>616.96</v>
      </c>
      <c r="M58" s="3">
        <v>674.2</v>
      </c>
      <c r="N58" s="2">
        <f t="shared" ref="N58" si="45">K58-L58-M58-R58</f>
        <v>102.80999999999949</v>
      </c>
      <c r="O58" s="2">
        <f t="shared" ref="O58" si="46">SUM(L58:N58)</f>
        <v>1393.9699999999996</v>
      </c>
      <c r="P58" s="16">
        <f t="shared" ref="P58" si="47">SUM(K58-O58)</f>
        <v>4781.8900000000003</v>
      </c>
      <c r="Q58" s="22"/>
      <c r="R58" s="46">
        <v>4781.8900000000003</v>
      </c>
    </row>
    <row r="59" spans="1:18" x14ac:dyDescent="0.25">
      <c r="A59" s="38">
        <v>53</v>
      </c>
      <c r="B59" s="47" t="s">
        <v>76</v>
      </c>
      <c r="C59" s="14">
        <f>2140.82+42.82</f>
        <v>2183.6400000000003</v>
      </c>
      <c r="D59" s="24"/>
      <c r="E59" s="24"/>
      <c r="F59" s="24">
        <f>2183.63+727.88</f>
        <v>2911.51</v>
      </c>
      <c r="G59" s="24">
        <f>1455.75+485.25</f>
        <v>1941</v>
      </c>
      <c r="H59" s="24">
        <v>2183.63</v>
      </c>
      <c r="I59" s="27"/>
      <c r="J59" s="27"/>
      <c r="K59" s="12">
        <f t="shared" si="41"/>
        <v>9219.7800000000007</v>
      </c>
      <c r="L59" s="3"/>
      <c r="M59" s="3">
        <f>280.12+242.78</f>
        <v>522.9</v>
      </c>
      <c r="N59" s="2">
        <f t="shared" ref="N59" si="48">K59-L59-M59-R59</f>
        <v>6836.6500000000015</v>
      </c>
      <c r="O59" s="2">
        <f t="shared" ref="O59" si="49">SUM(L59:N59)</f>
        <v>7359.5500000000011</v>
      </c>
      <c r="P59" s="16">
        <f t="shared" ref="P59" si="50">SUM(K59-O59)</f>
        <v>1860.2299999999996</v>
      </c>
      <c r="Q59" s="22"/>
      <c r="R59" s="46">
        <v>1860.23</v>
      </c>
    </row>
    <row r="60" spans="1:18" x14ac:dyDescent="0.25">
      <c r="A60" s="38">
        <v>54</v>
      </c>
      <c r="B60" s="47" t="s">
        <v>34</v>
      </c>
      <c r="C60" s="14">
        <f>14802.38+7253.16</f>
        <v>22055.54</v>
      </c>
      <c r="D60" s="24">
        <v>5920.95</v>
      </c>
      <c r="E60" s="24"/>
      <c r="F60" s="24">
        <f>927.06+309.02+1892.33+564.84+188.21</f>
        <v>3881.46</v>
      </c>
      <c r="G60" s="24">
        <f>618.04+206.01+376.43+125.45</f>
        <v>1325.93</v>
      </c>
      <c r="H60" s="24">
        <v>13905.97</v>
      </c>
      <c r="I60" s="27"/>
      <c r="J60" s="27"/>
      <c r="K60" s="12">
        <f t="shared" si="41"/>
        <v>47089.85</v>
      </c>
      <c r="L60" s="3">
        <f>6708.24+3889.02</f>
        <v>10597.26</v>
      </c>
      <c r="M60" s="3">
        <v>951.62</v>
      </c>
      <c r="N60" s="2">
        <f t="shared" si="33"/>
        <v>15773.449999999993</v>
      </c>
      <c r="O60" s="2">
        <f t="shared" si="1"/>
        <v>27322.329999999994</v>
      </c>
      <c r="P60" s="16">
        <f>SUM(K60-O60)+H60</f>
        <v>33673.490000000005</v>
      </c>
      <c r="Q60" s="22"/>
      <c r="R60" s="46">
        <v>19767.52</v>
      </c>
    </row>
    <row r="61" spans="1:18" x14ac:dyDescent="0.25">
      <c r="A61" s="38">
        <v>55</v>
      </c>
      <c r="B61" s="47" t="s">
        <v>35</v>
      </c>
      <c r="C61" s="14">
        <v>8136.79</v>
      </c>
      <c r="D61" s="24"/>
      <c r="E61" s="24"/>
      <c r="F61" s="24"/>
      <c r="G61" s="24"/>
      <c r="H61" s="24"/>
      <c r="I61" s="27"/>
      <c r="J61" s="27"/>
      <c r="K61" s="12">
        <f t="shared" si="41"/>
        <v>8136.79</v>
      </c>
      <c r="L61" s="3">
        <v>1028.58</v>
      </c>
      <c r="M61" s="3">
        <v>948.73</v>
      </c>
      <c r="N61" s="2">
        <f t="shared" si="33"/>
        <v>2190.2599999999998</v>
      </c>
      <c r="O61" s="2">
        <f t="shared" si="1"/>
        <v>4167.57</v>
      </c>
      <c r="P61" s="16">
        <f t="shared" si="2"/>
        <v>3969.2200000000003</v>
      </c>
      <c r="Q61" s="22"/>
      <c r="R61" s="46">
        <v>3969.22</v>
      </c>
    </row>
    <row r="62" spans="1:18" x14ac:dyDescent="0.25">
      <c r="A62" s="38">
        <v>56</v>
      </c>
      <c r="B62" s="47" t="s">
        <v>58</v>
      </c>
      <c r="C62" s="14">
        <f>6443.11+322.16</f>
        <v>6765.2699999999995</v>
      </c>
      <c r="D62" s="24"/>
      <c r="E62" s="24"/>
      <c r="F62" s="24"/>
      <c r="G62" s="24"/>
      <c r="H62" s="24"/>
      <c r="I62" s="27"/>
      <c r="J62" s="27"/>
      <c r="K62" s="12">
        <f>SUM(C62:I62)</f>
        <v>6765.2699999999995</v>
      </c>
      <c r="L62" s="3">
        <v>756.35</v>
      </c>
      <c r="M62" s="3">
        <v>756.72</v>
      </c>
      <c r="N62" s="2">
        <f t="shared" ref="N62" si="51">K62-L62-M62-R62</f>
        <v>1130.7199999999993</v>
      </c>
      <c r="O62" s="2">
        <f t="shared" ref="O62" si="52">SUM(L62:N62)</f>
        <v>2643.7899999999995</v>
      </c>
      <c r="P62" s="16">
        <f t="shared" ref="P62" si="53">SUM(K62-O62)</f>
        <v>4121.4799999999996</v>
      </c>
      <c r="Q62" s="22"/>
      <c r="R62" s="46">
        <v>4121.4799999999996</v>
      </c>
    </row>
    <row r="63" spans="1:18" x14ac:dyDescent="0.25">
      <c r="A63" s="38">
        <v>57</v>
      </c>
      <c r="B63" s="49" t="s">
        <v>77</v>
      </c>
      <c r="C63" s="43">
        <f>4455.48+89.11</f>
        <v>4544.5899999999992</v>
      </c>
      <c r="D63" s="44"/>
      <c r="E63" s="44"/>
      <c r="F63" s="44"/>
      <c r="G63" s="24"/>
      <c r="H63" s="24"/>
      <c r="I63" s="27"/>
      <c r="J63" s="27"/>
      <c r="K63" s="12">
        <f>SUM(C63:I63)</f>
        <v>4544.5899999999992</v>
      </c>
      <c r="L63" s="45">
        <v>232.68</v>
      </c>
      <c r="M63" s="45">
        <v>445.82</v>
      </c>
      <c r="N63" s="2">
        <f t="shared" ref="N63" si="54">K63-L63-M63-R63</f>
        <v>323.12999999999874</v>
      </c>
      <c r="O63" s="2">
        <f t="shared" ref="O63" si="55">SUM(L63:N63)</f>
        <v>1001.6299999999987</v>
      </c>
      <c r="P63" s="16">
        <f t="shared" ref="P63" si="56">SUM(K63-O63)</f>
        <v>3542.9600000000005</v>
      </c>
      <c r="Q63" s="22"/>
      <c r="R63" s="46">
        <v>3542.96</v>
      </c>
    </row>
    <row r="64" spans="1:18" ht="15.75" thickBot="1" x14ac:dyDescent="0.3">
      <c r="A64" s="38">
        <v>58</v>
      </c>
      <c r="B64" s="50" t="s">
        <v>36</v>
      </c>
      <c r="C64" s="15">
        <f>11432.03+2560.77</f>
        <v>13992.800000000001</v>
      </c>
      <c r="D64" s="26">
        <v>4572.8100000000004</v>
      </c>
      <c r="E64" s="26"/>
      <c r="F64" s="26"/>
      <c r="G64" s="26"/>
      <c r="H64" s="26"/>
      <c r="I64" s="28">
        <v>2067.4899999999998</v>
      </c>
      <c r="J64" s="28"/>
      <c r="K64" s="13">
        <f>SUM(C64:J64)</f>
        <v>20633.099999999999</v>
      </c>
      <c r="L64" s="10">
        <v>4464.2700000000004</v>
      </c>
      <c r="M64" s="10">
        <v>951.62</v>
      </c>
      <c r="N64" s="11">
        <f t="shared" si="33"/>
        <v>43.809999999997672</v>
      </c>
      <c r="O64" s="11">
        <f t="shared" si="1"/>
        <v>5459.699999999998</v>
      </c>
      <c r="P64" s="17">
        <f t="shared" si="2"/>
        <v>15173.400000000001</v>
      </c>
      <c r="Q64" s="22"/>
      <c r="R64" s="46">
        <v>15173.4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85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66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79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2025-03-26T19:24:39Z</dcterms:modified>
</cp:coreProperties>
</file>