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3-MARÇO\"/>
    </mc:Choice>
  </mc:AlternateContent>
  <xr:revisionPtr revIDLastSave="0" documentId="13_ncr:1_{C9973D8A-3A23-48FF-BC68-3EC31FD15F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6" l="1"/>
  <c r="L60" i="6"/>
  <c r="G60" i="6"/>
  <c r="F60" i="6"/>
  <c r="C60" i="6"/>
  <c r="F56" i="6"/>
  <c r="C56" i="6"/>
  <c r="C53" i="6"/>
  <c r="C48" i="6"/>
  <c r="C47" i="6"/>
  <c r="M45" i="6"/>
  <c r="F45" i="6"/>
  <c r="C45" i="6"/>
  <c r="M44" i="6"/>
  <c r="F44" i="6"/>
  <c r="C44" i="6"/>
  <c r="C42" i="6"/>
  <c r="C41" i="6"/>
  <c r="M39" i="6"/>
  <c r="G39" i="6"/>
  <c r="F39" i="6"/>
  <c r="D39" i="6"/>
  <c r="C39" i="6"/>
  <c r="C38" i="6"/>
  <c r="C36" i="6"/>
  <c r="M30" i="6"/>
  <c r="L30" i="6"/>
  <c r="F30" i="6"/>
  <c r="C30" i="6"/>
  <c r="M27" i="6"/>
  <c r="C27" i="6"/>
  <c r="F27" i="6"/>
  <c r="C26" i="6"/>
  <c r="G25" i="6"/>
  <c r="F25" i="6"/>
  <c r="C25" i="6"/>
  <c r="N23" i="6"/>
  <c r="O23" i="6"/>
  <c r="P23" i="6"/>
  <c r="K23" i="6"/>
  <c r="M22" i="6"/>
  <c r="F22" i="6"/>
  <c r="C22" i="6"/>
  <c r="M14" i="6"/>
  <c r="G14" i="6"/>
  <c r="F14" i="6"/>
  <c r="D14" i="6"/>
  <c r="C14" i="6"/>
  <c r="D13" i="6"/>
  <c r="C13" i="6"/>
  <c r="C8" i="6"/>
  <c r="M7" i="6"/>
  <c r="L7" i="6"/>
  <c r="F7" i="6"/>
  <c r="C7" i="6"/>
  <c r="C64" i="6"/>
  <c r="C58" i="6"/>
  <c r="M53" i="6"/>
  <c r="M50" i="6"/>
  <c r="M48" i="6"/>
  <c r="C46" i="6"/>
  <c r="M42" i="6"/>
  <c r="M38" i="6"/>
  <c r="C37" i="6"/>
  <c r="C34" i="6"/>
  <c r="C33" i="6"/>
  <c r="C29" i="6"/>
  <c r="C24" i="6"/>
  <c r="C19" i="6"/>
  <c r="C17" i="6"/>
  <c r="C16" i="6"/>
  <c r="C52" i="6"/>
  <c r="C51" i="6"/>
  <c r="M46" i="6"/>
  <c r="C35" i="6"/>
  <c r="C32" i="6"/>
  <c r="M29" i="6"/>
  <c r="M26" i="6"/>
  <c r="M19" i="6"/>
  <c r="C18" i="6"/>
  <c r="M16" i="6"/>
  <c r="C43" i="6"/>
  <c r="C12" i="6"/>
  <c r="C9" i="6" l="1"/>
  <c r="C54" i="6"/>
  <c r="K15" i="6"/>
  <c r="N15" i="6"/>
  <c r="O15" i="6" s="1"/>
  <c r="P15" i="6" s="1"/>
  <c r="C11" i="6"/>
  <c r="K31" i="6"/>
  <c r="N31" i="6" s="1"/>
  <c r="O31" i="6" s="1"/>
  <c r="P31" i="6" s="1"/>
  <c r="K30" i="6"/>
  <c r="K20" i="6"/>
  <c r="N20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37" i="6"/>
  <c r="N37" i="6" s="1"/>
  <c r="O37" i="6" s="1"/>
  <c r="P37" i="6" s="1"/>
  <c r="K22" i="6"/>
  <c r="K10" i="6"/>
  <c r="N30" i="6" l="1"/>
  <c r="O30" i="6" s="1"/>
  <c r="P30" i="6" s="1"/>
  <c r="O20" i="6"/>
  <c r="P20" i="6" s="1"/>
  <c r="P59" i="6"/>
  <c r="N22" i="6"/>
  <c r="O22" i="6" s="1"/>
  <c r="P22" i="6" s="1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11" i="6"/>
  <c r="K12" i="6"/>
  <c r="K16" i="6"/>
  <c r="K17" i="6"/>
  <c r="K18" i="6"/>
  <c r="K19" i="6"/>
  <c r="K21" i="6"/>
  <c r="K24" i="6"/>
  <c r="K25" i="6"/>
  <c r="K26" i="6"/>
  <c r="K27" i="6"/>
  <c r="K28" i="6"/>
  <c r="K29" i="6"/>
  <c r="K7" i="6"/>
  <c r="K51" i="6" l="1"/>
  <c r="K14" i="6"/>
  <c r="N62" i="6" l="1"/>
  <c r="O62" i="6" s="1"/>
  <c r="P62" i="6" s="1"/>
  <c r="N33" i="6" l="1"/>
  <c r="O33" i="6" s="1"/>
  <c r="P33" i="6" s="1"/>
  <c r="N8" i="6" l="1"/>
  <c r="O8" i="6" s="1"/>
  <c r="P8" i="6" s="1"/>
  <c r="N40" i="6" l="1"/>
  <c r="O40" i="6" s="1"/>
  <c r="P40" i="6" s="1"/>
  <c r="N55" i="6" l="1"/>
  <c r="O55" i="6" s="1"/>
  <c r="P55" i="6" s="1"/>
  <c r="N16" i="6" l="1"/>
  <c r="O16" i="6" s="1"/>
  <c r="P16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29" i="6"/>
  <c r="O29" i="6" s="1"/>
  <c r="P29" i="6" s="1"/>
  <c r="N27" i="6"/>
  <c r="O27" i="6" s="1"/>
  <c r="P27" i="6" s="1"/>
  <c r="N26" i="6"/>
  <c r="O26" i="6" s="1"/>
  <c r="P26" i="6" s="1"/>
  <c r="N25" i="6"/>
  <c r="O25" i="6" s="1"/>
  <c r="P25" i="6" s="1"/>
  <c r="N24" i="6"/>
  <c r="O24" i="6" s="1"/>
  <c r="P24" i="6" s="1"/>
  <c r="N19" i="6"/>
  <c r="O19" i="6" s="1"/>
  <c r="P19" i="6" s="1"/>
  <c r="N7" i="6"/>
  <c r="O7" i="6" s="1"/>
  <c r="P7" i="6" s="1"/>
  <c r="N45" i="6" l="1"/>
  <c r="O45" i="6" s="1"/>
  <c r="P45" i="6" s="1"/>
  <c r="N61" i="6"/>
  <c r="O61" i="6" s="1"/>
  <c r="P61" i="6" s="1"/>
  <c r="N17" i="6"/>
  <c r="O17" i="6" s="1"/>
  <c r="P17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4" i="6"/>
  <c r="O34" i="6" s="1"/>
  <c r="P34" i="6" s="1"/>
  <c r="N28" i="6"/>
  <c r="O28" i="6" s="1"/>
  <c r="P28" i="6" s="1"/>
  <c r="N39" i="6"/>
  <c r="O39" i="6" s="1"/>
  <c r="P39" i="6" s="1"/>
  <c r="N43" i="6"/>
  <c r="O43" i="6" s="1"/>
  <c r="P43" i="6" s="1"/>
  <c r="N21" i="6"/>
  <c r="O21" i="6" s="1"/>
  <c r="P21" i="6" s="1"/>
  <c r="N18" i="6"/>
  <c r="O18" i="6" s="1"/>
  <c r="P18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<sst xmlns="http://schemas.openxmlformats.org/spreadsheetml/2006/main" count="90" uniqueCount="88">
  <si>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</si>
  <si>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</si>
  <si>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</si>
  <si>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</si>
  <si>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</si>
  <si>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</si>
  <si>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</si>
  <si>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</si>
  <si>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</si>
  <si>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</si>
  <si>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</si>
  <si>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</si>
  <si>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</si>
  <si>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</si>
  <si>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</si>
  <si>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</si>
  <si>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</si>
  <si>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</si>
  <si>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</si>
  <si>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</si>
  <si>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</si>
  <si>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</si>
  <si>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</si>
  <si>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</si>
  <si>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</si>
  <si>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</si>
  <si>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</si>
  <si>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</si>
  <si>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</si>
  <si>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</si>
  <si>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</si>
  <si>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</si>
  <si>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</si>
  <si>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</si>
  <si>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</si>
  <si>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</si>
  <si>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</si>
  <si>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</si>
  <si>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</si>
  <si>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</si>
  <si>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</si>
  <si>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</si>
  <si>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</si>
  <si>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</si>
  <si>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</si>
  <si>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</si>
  <si>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</si>
  <si>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</si>
  <si>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</si>
  <si>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</si>
  <si>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</si>
  <si>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</si>
  <si>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</si>
  <si>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</si>
  <si>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</si>
  <si>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</si>
  <si>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</si>
  <si>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</si>
  <si>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</si>
  <si>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</si>
  <si>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</si>
  <si>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</si>
  <si>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</si>
  <si>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</si>
  <si>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</si>
  <si>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</si>
  <si>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</si>
  <si>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</si>
  <si>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</si>
  <si>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</si>
  <si>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</si>
  <si>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</si>
  <si>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</si>
  <si>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</si>
  <si>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</si>
  <si>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</si>
  <si>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</si>
  <si>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</si>
  <si>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</si>
  <si>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</si>
  <si>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</si>
  <si>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</si>
  <si>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</si>
  <si>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CELSO LUIZ CAVAGLIER WOLF</t>
  </si>
  <si>
    <t>MURILLO GRAZIANI</t>
  </si>
  <si>
    <t>MARÇO/2024</t>
  </si>
  <si>
    <t>GABRIEL MACIEL DE CORDOVA</t>
  </si>
  <si>
    <r>
      <t xml:space="preserve">GABRIEL ALVES FONSECA             </t>
    </r>
    <r>
      <rPr>
        <sz val="11"/>
        <color theme="4" tint="-0.249977111117893"/>
        <rFont val="Calibri"/>
        <family val="2"/>
        <scheme val="minor"/>
      </rPr>
      <t>(RESCISÃO DE CTR)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</si>
</sst>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23" sqref="B23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4" t="s">
        <v>85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47</v>
      </c>
      <c r="C5" s="68" t="s">
        <v>37</v>
      </c>
      <c r="D5" s="72" t="s">
        <v>59</v>
      </c>
      <c r="E5" s="68" t="s">
        <v>38</v>
      </c>
      <c r="F5" s="68" t="s">
        <v>60</v>
      </c>
      <c r="G5" s="38" t="s">
        <v>61</v>
      </c>
      <c r="H5" s="39" t="s">
        <v>63</v>
      </c>
      <c r="I5" s="20" t="s">
        <v>50</v>
      </c>
      <c r="J5" s="8" t="s">
        <v>68</v>
      </c>
      <c r="K5" s="20" t="s">
        <v>39</v>
      </c>
      <c r="L5" s="70" t="s">
        <v>41</v>
      </c>
      <c r="M5" s="68" t="s">
        <v>42</v>
      </c>
      <c r="N5" s="20" t="s">
        <v>43</v>
      </c>
      <c r="O5" s="8" t="s">
        <v>45</v>
      </c>
      <c r="P5" s="22" t="s">
        <v>39</v>
      </c>
    </row>
    <row r="6" spans="1:19" ht="15.75" thickBot="1" x14ac:dyDescent="0.3">
      <c r="B6" s="67"/>
      <c r="C6" s="69"/>
      <c r="D6" s="73"/>
      <c r="E6" s="69"/>
      <c r="F6" s="69"/>
      <c r="G6" s="40" t="s">
        <v>62</v>
      </c>
      <c r="H6" s="41" t="s">
        <v>52</v>
      </c>
      <c r="I6" s="21" t="s">
        <v>51</v>
      </c>
      <c r="J6" s="9" t="s">
        <v>69</v>
      </c>
      <c r="K6" s="21" t="s">
        <v>40</v>
      </c>
      <c r="L6" s="71"/>
      <c r="M6" s="69"/>
      <c r="N6" s="21" t="s">
        <v>44</v>
      </c>
      <c r="O6" s="9" t="s">
        <v>44</v>
      </c>
      <c r="P6" s="23" t="s">
        <v>46</v>
      </c>
    </row>
    <row r="7" spans="1:19" x14ac:dyDescent="0.25">
      <c r="A7" s="42">
        <v>1</v>
      </c>
      <c r="B7" s="16" t="s">
        <v>0</v>
      </c>
      <c r="C7" s="14">
        <f>4318.92+563.41</f>
        <v>4882.33</v>
      </c>
      <c r="D7" s="27">
        <v>1941.15</v>
      </c>
      <c r="E7" s="27"/>
      <c r="F7" s="27">
        <f>3950.43+1316.81</f>
        <v>5267.24</v>
      </c>
      <c r="G7" s="27"/>
      <c r="H7" s="27"/>
      <c r="I7" s="30"/>
      <c r="J7" s="30"/>
      <c r="K7" s="12">
        <f t="shared" ref="K7:K14" si="0">SUM(C7:I7)</f>
        <v>12090.72</v>
      </c>
      <c r="L7" s="3">
        <f>825.14+397.17</f>
        <v>1222.31</v>
      </c>
      <c r="M7" s="3">
        <f>352.63+556.22</f>
        <v>908.85</v>
      </c>
      <c r="N7" s="2">
        <f>K7-L7-M7-R7</f>
        <v>4356.1699999999992</v>
      </c>
      <c r="O7" s="2">
        <f t="shared" ref="O7:O64" si="1">SUM(L7:N7)</f>
        <v>6487.329999999999</v>
      </c>
      <c r="P7" s="18">
        <f t="shared" ref="P7:P64" si="2">SUM(K7-O7)</f>
        <v>5603.39</v>
      </c>
      <c r="Q7" s="24"/>
      <c r="R7" s="25">
        <v>5603.39</v>
      </c>
    </row>
    <row r="8" spans="1:19" x14ac:dyDescent="0.25">
      <c r="A8" s="42">
        <v>2</v>
      </c>
      <c r="B8" s="16" t="s">
        <v>55</v>
      </c>
      <c r="C8" s="14">
        <f>2908.37+358.4</f>
        <v>3266.77</v>
      </c>
      <c r="D8" s="27">
        <v>3064.97</v>
      </c>
      <c r="E8" s="27"/>
      <c r="F8" s="27"/>
      <c r="G8" s="27"/>
      <c r="H8" s="27"/>
      <c r="I8" s="30"/>
      <c r="J8" s="30"/>
      <c r="K8" s="12">
        <f t="shared" si="0"/>
        <v>6331.74</v>
      </c>
      <c r="L8" s="3">
        <v>651.28</v>
      </c>
      <c r="M8" s="3">
        <v>705.25</v>
      </c>
      <c r="N8" s="2">
        <f t="shared" ref="N8:N13" si="3">K8-L8-M8-R8</f>
        <v>121.63000000000011</v>
      </c>
      <c r="O8" s="2">
        <f t="shared" si="1"/>
        <v>1478.16</v>
      </c>
      <c r="P8" s="18">
        <f t="shared" si="2"/>
        <v>4853.58</v>
      </c>
      <c r="Q8" s="24"/>
      <c r="R8" s="25">
        <v>4853.58</v>
      </c>
    </row>
    <row r="9" spans="1:19" x14ac:dyDescent="0.25">
      <c r="A9" s="42">
        <v>3</v>
      </c>
      <c r="B9" s="16" t="s">
        <v>72</v>
      </c>
      <c r="C9" s="14">
        <f>5421.73+130.12</f>
        <v>5551.8499999999995</v>
      </c>
      <c r="D9" s="27">
        <v>1084.3499999999999</v>
      </c>
      <c r="E9" s="27"/>
      <c r="F9" s="27"/>
      <c r="G9" s="27"/>
      <c r="H9" s="27"/>
      <c r="I9" s="30"/>
      <c r="J9" s="30"/>
      <c r="K9" s="12">
        <f t="shared" ref="K9:K10" si="4">SUM(C9:I9)</f>
        <v>6636.1999999999989</v>
      </c>
      <c r="L9" s="3">
        <v>723.29</v>
      </c>
      <c r="M9" s="3">
        <v>747.88</v>
      </c>
      <c r="N9" s="2">
        <f t="shared" ref="N9:N10" si="5">K9-L9-M9-R9</f>
        <v>882.38999999999851</v>
      </c>
      <c r="O9" s="2">
        <f t="shared" ref="O9:O10" si="6">SUM(L9:N9)</f>
        <v>2353.5599999999986</v>
      </c>
      <c r="P9" s="18">
        <f t="shared" ref="P9:P10" si="7">SUM(K9-O9)</f>
        <v>4282.6400000000003</v>
      </c>
      <c r="Q9" s="24"/>
      <c r="R9" s="25">
        <v>4282.6400000000003</v>
      </c>
    </row>
    <row r="10" spans="1:19" x14ac:dyDescent="0.25">
      <c r="A10" s="42">
        <v>4</v>
      </c>
      <c r="B10" s="16" t="s">
        <v>74</v>
      </c>
      <c r="C10" s="14">
        <v>3742.7</v>
      </c>
      <c r="D10" s="27"/>
      <c r="E10" s="27"/>
      <c r="F10" s="27"/>
      <c r="G10" s="27"/>
      <c r="H10" s="27"/>
      <c r="I10" s="30"/>
      <c r="J10" s="30"/>
      <c r="K10" s="12">
        <f t="shared" si="4"/>
        <v>3742.7</v>
      </c>
      <c r="L10" s="3">
        <v>95.25</v>
      </c>
      <c r="M10" s="3">
        <v>347.94</v>
      </c>
      <c r="N10" s="2">
        <f t="shared" si="5"/>
        <v>7.3799999999996544</v>
      </c>
      <c r="O10" s="2">
        <f t="shared" si="6"/>
        <v>450.56999999999965</v>
      </c>
      <c r="P10" s="18">
        <f t="shared" si="7"/>
        <v>3292.13</v>
      </c>
      <c r="Q10" s="24"/>
      <c r="R10" s="25">
        <v>3292.13</v>
      </c>
    </row>
    <row r="11" spans="1:19" x14ac:dyDescent="0.25">
      <c r="A11" s="42">
        <v>5</v>
      </c>
      <c r="B11" s="16" t="s">
        <v>1</v>
      </c>
      <c r="C11" s="14">
        <f>3522.55+493.16</f>
        <v>4015.71</v>
      </c>
      <c r="D11" s="27"/>
      <c r="E11" s="27"/>
      <c r="F11" s="27"/>
      <c r="G11" s="27"/>
      <c r="H11" s="27"/>
      <c r="I11" s="30"/>
      <c r="J11" s="30"/>
      <c r="K11" s="12">
        <f t="shared" si="0"/>
        <v>4015.71</v>
      </c>
      <c r="L11" s="3">
        <v>136.19999999999999</v>
      </c>
      <c r="M11" s="3">
        <v>381.01</v>
      </c>
      <c r="N11" s="2">
        <f t="shared" si="3"/>
        <v>1441.15</v>
      </c>
      <c r="O11" s="2">
        <f t="shared" si="1"/>
        <v>1958.3600000000001</v>
      </c>
      <c r="P11" s="18">
        <f>SUM(K11-O11)+H11</f>
        <v>2057.35</v>
      </c>
      <c r="Q11" s="24"/>
      <c r="R11" s="25">
        <v>2057.35</v>
      </c>
      <c r="S11" s="1"/>
    </row>
    <row r="12" spans="1:19" x14ac:dyDescent="0.25">
      <c r="A12" s="42">
        <v>6</v>
      </c>
      <c r="B12" s="16" t="s">
        <v>2</v>
      </c>
      <c r="C12" s="14">
        <f>4171.15+1126.21</f>
        <v>5297.36</v>
      </c>
      <c r="D12" s="27"/>
      <c r="E12" s="27"/>
      <c r="F12" s="27"/>
      <c r="G12" s="27"/>
      <c r="H12" s="27"/>
      <c r="I12" s="30"/>
      <c r="J12" s="30"/>
      <c r="K12" s="12">
        <f t="shared" si="0"/>
        <v>5297.36</v>
      </c>
      <c r="L12" s="3">
        <v>405.45</v>
      </c>
      <c r="M12" s="3">
        <v>560.44000000000005</v>
      </c>
      <c r="N12" s="2">
        <f t="shared" si="3"/>
        <v>986.32999999999947</v>
      </c>
      <c r="O12" s="2">
        <f t="shared" si="1"/>
        <v>1952.2199999999996</v>
      </c>
      <c r="P12" s="18">
        <f t="shared" si="2"/>
        <v>3345.1400000000003</v>
      </c>
      <c r="Q12" s="24"/>
      <c r="R12" s="25">
        <v>3345.14</v>
      </c>
    </row>
    <row r="13" spans="1:19" x14ac:dyDescent="0.25">
      <c r="A13" s="42">
        <v>7</v>
      </c>
      <c r="B13" s="16" t="s">
        <v>70</v>
      </c>
      <c r="C13" s="14">
        <f>5421.73+136.12</f>
        <v>5557.8499999999995</v>
      </c>
      <c r="D13" s="27">
        <f>1084.35+299.99</f>
        <v>1384.34</v>
      </c>
      <c r="E13" s="27"/>
      <c r="F13" s="27"/>
      <c r="G13" s="27"/>
      <c r="H13" s="27"/>
      <c r="I13" s="30"/>
      <c r="J13" s="30"/>
      <c r="K13" s="12">
        <f t="shared" si="0"/>
        <v>6942.19</v>
      </c>
      <c r="L13" s="3">
        <v>795.65</v>
      </c>
      <c r="M13" s="3">
        <v>790.72</v>
      </c>
      <c r="N13" s="2">
        <f t="shared" si="3"/>
        <v>7.3800000000001091</v>
      </c>
      <c r="O13" s="2">
        <f t="shared" si="1"/>
        <v>1593.75</v>
      </c>
      <c r="P13" s="18">
        <f t="shared" si="2"/>
        <v>5348.44</v>
      </c>
      <c r="Q13" s="24"/>
      <c r="R13" s="25">
        <v>5348.44</v>
      </c>
    </row>
    <row r="14" spans="1:19" x14ac:dyDescent="0.25">
      <c r="A14" s="42">
        <v>8</v>
      </c>
      <c r="B14" s="16" t="s">
        <v>3</v>
      </c>
      <c r="C14" s="14">
        <f>13431.37+7051.47</f>
        <v>20482.84</v>
      </c>
      <c r="D14" s="27">
        <f>1343.13+5372.54</f>
        <v>6715.67</v>
      </c>
      <c r="E14" s="27"/>
      <c r="F14" s="27">
        <f>4184.39+1394.8</f>
        <v>5579.1900000000005</v>
      </c>
      <c r="G14" s="27">
        <f>2092.19+697.4</f>
        <v>2789.59</v>
      </c>
      <c r="H14" s="27"/>
      <c r="I14" s="30"/>
      <c r="J14" s="30"/>
      <c r="K14" s="12">
        <f t="shared" si="0"/>
        <v>35567.290000000008</v>
      </c>
      <c r="L14" s="3">
        <v>6383.64</v>
      </c>
      <c r="M14" s="3">
        <f>727.08+181.77</f>
        <v>908.85</v>
      </c>
      <c r="N14" s="2">
        <f>K14-L14-M14-R14</f>
        <v>8580.9500000000116</v>
      </c>
      <c r="O14" s="2">
        <f t="shared" si="1"/>
        <v>15873.440000000013</v>
      </c>
      <c r="P14" s="18">
        <f t="shared" si="2"/>
        <v>19693.849999999995</v>
      </c>
      <c r="Q14" s="24"/>
      <c r="R14" s="25">
        <v>19693.849999999999</v>
      </c>
    </row>
    <row r="15" spans="1:19" x14ac:dyDescent="0.25">
      <c r="A15" s="42">
        <v>9</v>
      </c>
      <c r="B15" s="16" t="s">
        <v>83</v>
      </c>
      <c r="C15" s="14">
        <v>3705.64</v>
      </c>
      <c r="D15" s="27"/>
      <c r="E15" s="27"/>
      <c r="F15" s="27"/>
      <c r="G15" s="27"/>
      <c r="H15" s="27"/>
      <c r="I15" s="30"/>
      <c r="J15" s="30"/>
      <c r="K15" s="12">
        <f t="shared" ref="K15" si="8">SUM(C15:I15)</f>
        <v>3705.64</v>
      </c>
      <c r="L15" s="3">
        <v>89.69</v>
      </c>
      <c r="M15" s="3">
        <v>343.49</v>
      </c>
      <c r="N15" s="2">
        <f>K15-L15-M15-R15</f>
        <v>205.01999999999998</v>
      </c>
      <c r="O15" s="2">
        <f t="shared" ref="O15" si="9">SUM(L15:N15)</f>
        <v>638.20000000000005</v>
      </c>
      <c r="P15" s="18">
        <f t="shared" ref="P15" si="10">SUM(K15-O15)</f>
        <v>3067.4399999999996</v>
      </c>
      <c r="Q15" s="24"/>
      <c r="R15" s="25">
        <v>3067.44</v>
      </c>
    </row>
    <row r="16" spans="1:19" x14ac:dyDescent="0.25">
      <c r="A16" s="42">
        <v>10</v>
      </c>
      <c r="B16" s="16" t="s">
        <v>4</v>
      </c>
      <c r="C16" s="14">
        <f>15344.28+5155.68</f>
        <v>20499.96</v>
      </c>
      <c r="D16" s="27">
        <v>6137.71</v>
      </c>
      <c r="E16" s="27"/>
      <c r="F16" s="46"/>
      <c r="G16" s="27"/>
      <c r="H16" s="27"/>
      <c r="I16" s="30"/>
      <c r="J16" s="30"/>
      <c r="K16" s="12">
        <f t="shared" ref="K16:K32" si="11">SUM(C16:I16)</f>
        <v>26637.67</v>
      </c>
      <c r="L16" s="3">
        <v>6179.43</v>
      </c>
      <c r="M16" s="3">
        <f>31.9+876.95</f>
        <v>908.85</v>
      </c>
      <c r="N16" s="2">
        <f t="shared" ref="N16:N42" si="12">K16-L16-M16-R16</f>
        <v>108.45999999999913</v>
      </c>
      <c r="O16" s="2">
        <f t="shared" si="1"/>
        <v>7196.74</v>
      </c>
      <c r="P16" s="18">
        <f t="shared" si="2"/>
        <v>19440.93</v>
      </c>
      <c r="Q16" s="24"/>
      <c r="R16" s="25">
        <v>19440.93</v>
      </c>
    </row>
    <row r="17" spans="1:18" x14ac:dyDescent="0.25">
      <c r="A17" s="42">
        <v>11</v>
      </c>
      <c r="B17" s="16" t="s">
        <v>5</v>
      </c>
      <c r="C17" s="14">
        <f>3584.25+562.84</f>
        <v>4147.09</v>
      </c>
      <c r="D17" s="27">
        <v>1532.5</v>
      </c>
      <c r="E17" s="27"/>
      <c r="F17" s="27"/>
      <c r="G17" s="27"/>
      <c r="H17" s="27"/>
      <c r="I17" s="30"/>
      <c r="J17" s="30"/>
      <c r="K17" s="12">
        <f t="shared" si="11"/>
        <v>5679.59</v>
      </c>
      <c r="L17" s="3">
        <v>497.05</v>
      </c>
      <c r="M17" s="3">
        <v>613.95000000000005</v>
      </c>
      <c r="N17" s="2">
        <f t="shared" si="12"/>
        <v>55.130000000000109</v>
      </c>
      <c r="O17" s="2">
        <f t="shared" si="1"/>
        <v>1166.1300000000001</v>
      </c>
      <c r="P17" s="18">
        <f t="shared" si="2"/>
        <v>4513.46</v>
      </c>
      <c r="Q17" s="24"/>
      <c r="R17" s="25">
        <v>4513.46</v>
      </c>
    </row>
    <row r="18" spans="1:18" x14ac:dyDescent="0.25">
      <c r="A18" s="42">
        <v>12</v>
      </c>
      <c r="B18" s="16" t="s">
        <v>6</v>
      </c>
      <c r="C18" s="14">
        <f>2773.83+804.41</f>
        <v>3578.24</v>
      </c>
      <c r="D18" s="27"/>
      <c r="E18" s="27"/>
      <c r="F18" s="27"/>
      <c r="G18" s="27"/>
      <c r="H18" s="27"/>
      <c r="I18" s="30"/>
      <c r="J18" s="30"/>
      <c r="K18" s="12">
        <f t="shared" si="11"/>
        <v>3578.24</v>
      </c>
      <c r="L18" s="3">
        <v>70.58</v>
      </c>
      <c r="M18" s="3">
        <v>328.2</v>
      </c>
      <c r="N18" s="2">
        <f t="shared" si="12"/>
        <v>434.40999999999985</v>
      </c>
      <c r="O18" s="2">
        <f t="shared" si="1"/>
        <v>833.18999999999983</v>
      </c>
      <c r="P18" s="18">
        <f t="shared" si="2"/>
        <v>2745.05</v>
      </c>
      <c r="Q18" s="24"/>
      <c r="R18" s="25">
        <v>2745.05</v>
      </c>
    </row>
    <row r="19" spans="1:18" x14ac:dyDescent="0.25">
      <c r="A19" s="42">
        <v>13</v>
      </c>
      <c r="B19" s="16" t="s">
        <v>7</v>
      </c>
      <c r="C19" s="14">
        <f>6884.16+1691.35</f>
        <v>8575.51</v>
      </c>
      <c r="D19" s="27">
        <v>3064.97</v>
      </c>
      <c r="E19" s="27"/>
      <c r="F19" s="27"/>
      <c r="G19" s="27"/>
      <c r="H19" s="27"/>
      <c r="I19" s="30"/>
      <c r="J19" s="30"/>
      <c r="K19" s="12">
        <f t="shared" si="11"/>
        <v>11640.48</v>
      </c>
      <c r="L19" s="3">
        <v>1898.79</v>
      </c>
      <c r="M19" s="3">
        <f>213.79+695.06</f>
        <v>908.84999999999991</v>
      </c>
      <c r="N19" s="2">
        <f t="shared" si="12"/>
        <v>684.43999999999869</v>
      </c>
      <c r="O19" s="2">
        <f t="shared" si="1"/>
        <v>3492.0799999999986</v>
      </c>
      <c r="P19" s="18">
        <f t="shared" si="2"/>
        <v>8148.4000000000015</v>
      </c>
      <c r="Q19" s="24"/>
      <c r="R19" s="25">
        <v>8148.4</v>
      </c>
    </row>
    <row r="20" spans="1:18" x14ac:dyDescent="0.25">
      <c r="A20" s="42">
        <v>14</v>
      </c>
      <c r="B20" s="16" t="s">
        <v>79</v>
      </c>
      <c r="C20" s="14">
        <v>2659.24</v>
      </c>
      <c r="D20" s="27"/>
      <c r="E20" s="27"/>
      <c r="F20" s="27"/>
      <c r="G20" s="27"/>
      <c r="H20" s="27"/>
      <c r="I20" s="30"/>
      <c r="J20" s="30"/>
      <c r="K20" s="12">
        <f t="shared" ref="K20" si="13">SUM(C20:I20)</f>
        <v>2659.24</v>
      </c>
      <c r="L20" s="3"/>
      <c r="M20" s="3">
        <v>218.15</v>
      </c>
      <c r="N20" s="2">
        <f t="shared" ref="N20" si="14">K20-L20-M20-R20</f>
        <v>7.3799999999996544</v>
      </c>
      <c r="O20" s="2">
        <f t="shared" ref="O20" si="15">SUM(L20:N20)</f>
        <v>225.52999999999966</v>
      </c>
      <c r="P20" s="18">
        <f t="shared" ref="P20" si="16">SUM(K20-O20)</f>
        <v>2433.71</v>
      </c>
      <c r="Q20" s="24"/>
      <c r="R20" s="25">
        <v>2433.71</v>
      </c>
    </row>
    <row r="21" spans="1:18" x14ac:dyDescent="0.25">
      <c r="A21" s="42">
        <v>15</v>
      </c>
      <c r="B21" s="16" t="s">
        <v>8</v>
      </c>
      <c r="C21" s="14">
        <v>3785.42</v>
      </c>
      <c r="D21" s="27"/>
      <c r="E21" s="27"/>
      <c r="F21" s="27"/>
      <c r="G21" s="27"/>
      <c r="H21" s="27"/>
      <c r="I21" s="30"/>
      <c r="J21" s="30"/>
      <c r="K21" s="12">
        <f t="shared" si="11"/>
        <v>3785.42</v>
      </c>
      <c r="L21" s="3">
        <v>101.65</v>
      </c>
      <c r="M21" s="3">
        <v>353.06</v>
      </c>
      <c r="N21" s="2">
        <f t="shared" si="12"/>
        <v>7.3800000000001091</v>
      </c>
      <c r="O21" s="2">
        <f t="shared" si="1"/>
        <v>462.09000000000015</v>
      </c>
      <c r="P21" s="18">
        <f t="shared" si="2"/>
        <v>3323.33</v>
      </c>
      <c r="Q21" s="24"/>
      <c r="R21" s="25">
        <v>3323.33</v>
      </c>
    </row>
    <row r="22" spans="1:18" x14ac:dyDescent="0.25">
      <c r="A22" s="42">
        <v>16</v>
      </c>
      <c r="B22" s="16" t="s">
        <v>87</v>
      </c>
      <c r="C22" s="14">
        <f>3335.08+33.35</f>
        <v>3368.43</v>
      </c>
      <c r="D22" s="27"/>
      <c r="E22" s="27"/>
      <c r="F22" s="27">
        <f>1247.57+3742.7+623.78+207.93</f>
        <v>5821.98</v>
      </c>
      <c r="G22" s="27"/>
      <c r="H22" s="27">
        <v>935.68</v>
      </c>
      <c r="I22" s="30"/>
      <c r="J22" s="30"/>
      <c r="K22" s="12">
        <f t="shared" si="11"/>
        <v>10126.09</v>
      </c>
      <c r="L22" s="3">
        <v>40.83</v>
      </c>
      <c r="M22" s="3">
        <f>303.03+70.17</f>
        <v>373.2</v>
      </c>
      <c r="N22" s="2">
        <f t="shared" ref="N22" si="17">K22-L22-M22-R22</f>
        <v>122.79999999999927</v>
      </c>
      <c r="O22" s="2">
        <f t="shared" ref="O22" si="18">SUM(L22:N22)</f>
        <v>536.82999999999925</v>
      </c>
      <c r="P22" s="18">
        <f t="shared" ref="P22" si="19">SUM(K22-O22)</f>
        <v>9589.26</v>
      </c>
      <c r="Q22" s="24"/>
      <c r="R22" s="25">
        <v>9589.26</v>
      </c>
    </row>
    <row r="23" spans="1:18" x14ac:dyDescent="0.25">
      <c r="A23" s="42">
        <v>17</v>
      </c>
      <c r="B23" s="16" t="s">
        <v>86</v>
      </c>
      <c r="C23" s="14">
        <v>3705.64</v>
      </c>
      <c r="D23" s="27"/>
      <c r="E23" s="27"/>
      <c r="F23" s="27"/>
      <c r="G23" s="27"/>
      <c r="H23" s="27"/>
      <c r="I23" s="30"/>
      <c r="J23" s="30"/>
      <c r="K23" s="12">
        <f t="shared" si="11"/>
        <v>3705.64</v>
      </c>
      <c r="L23" s="3">
        <v>89.69</v>
      </c>
      <c r="M23" s="3">
        <v>343.49</v>
      </c>
      <c r="N23" s="2">
        <f t="shared" ref="N23" si="20">K23-L23-M23-R23</f>
        <v>38.579999999999927</v>
      </c>
      <c r="O23" s="2">
        <f t="shared" ref="O23" si="21">SUM(L23:N23)</f>
        <v>471.75999999999993</v>
      </c>
      <c r="P23" s="18">
        <f t="shared" ref="P23" si="22">SUM(K23-O23)</f>
        <v>3233.88</v>
      </c>
      <c r="Q23" s="24"/>
      <c r="R23" s="25">
        <v>3233.88</v>
      </c>
    </row>
    <row r="24" spans="1:18" x14ac:dyDescent="0.25">
      <c r="A24" s="42">
        <v>18</v>
      </c>
      <c r="B24" s="16" t="s">
        <v>9</v>
      </c>
      <c r="C24" s="14">
        <f>17119.13+10862.09</f>
        <v>27981.22</v>
      </c>
      <c r="D24" s="27">
        <v>23110.83</v>
      </c>
      <c r="E24" s="27"/>
      <c r="F24" s="27"/>
      <c r="G24" s="27"/>
      <c r="H24" s="27"/>
      <c r="I24" s="30"/>
      <c r="J24" s="30"/>
      <c r="K24" s="12">
        <f t="shared" si="11"/>
        <v>51092.05</v>
      </c>
      <c r="L24" s="3">
        <v>10956.41</v>
      </c>
      <c r="M24" s="3">
        <v>908.85</v>
      </c>
      <c r="N24" s="2">
        <f t="shared" si="12"/>
        <v>7610.9400000000023</v>
      </c>
      <c r="O24" s="2">
        <f t="shared" si="1"/>
        <v>19476.200000000004</v>
      </c>
      <c r="P24" s="18">
        <f t="shared" si="2"/>
        <v>31615.85</v>
      </c>
      <c r="Q24" s="24"/>
      <c r="R24" s="25">
        <v>31615.85</v>
      </c>
    </row>
    <row r="25" spans="1:18" x14ac:dyDescent="0.25">
      <c r="A25" s="42">
        <v>19</v>
      </c>
      <c r="B25" s="16" t="s">
        <v>10</v>
      </c>
      <c r="C25" s="14">
        <f>13431.37+4674.12+0.29</f>
        <v>18105.780000000002</v>
      </c>
      <c r="D25" s="27">
        <v>2686.28</v>
      </c>
      <c r="E25" s="27"/>
      <c r="F25" s="27">
        <f>3198.73+1066.24</f>
        <v>4264.97</v>
      </c>
      <c r="G25" s="27">
        <f>1599.37+533.12</f>
        <v>2132.4899999999998</v>
      </c>
      <c r="H25" s="27"/>
      <c r="I25" s="30"/>
      <c r="J25" s="30"/>
      <c r="K25" s="12">
        <f t="shared" si="11"/>
        <v>27189.520000000004</v>
      </c>
      <c r="L25" s="3">
        <v>4569.7299999999996</v>
      </c>
      <c r="M25" s="3">
        <v>908.85</v>
      </c>
      <c r="N25" s="2">
        <f t="shared" si="12"/>
        <v>7719.9800000000068</v>
      </c>
      <c r="O25" s="2">
        <f t="shared" si="1"/>
        <v>13198.560000000007</v>
      </c>
      <c r="P25" s="18">
        <f t="shared" si="2"/>
        <v>13990.959999999997</v>
      </c>
      <c r="Q25" s="24"/>
      <c r="R25" s="25">
        <v>13990.96</v>
      </c>
    </row>
    <row r="26" spans="1:18" x14ac:dyDescent="0.25">
      <c r="A26" s="42">
        <v>20</v>
      </c>
      <c r="B26" s="16" t="s">
        <v>11</v>
      </c>
      <c r="C26" s="14">
        <f>7051.02+1887.76</f>
        <v>8938.7800000000007</v>
      </c>
      <c r="D26" s="27">
        <v>500</v>
      </c>
      <c r="E26" s="27"/>
      <c r="F26" s="27"/>
      <c r="G26" s="27"/>
      <c r="H26" s="27"/>
      <c r="I26" s="30"/>
      <c r="J26" s="30"/>
      <c r="K26" s="12">
        <f t="shared" si="11"/>
        <v>9438.7800000000007</v>
      </c>
      <c r="L26" s="3">
        <v>1345.46</v>
      </c>
      <c r="M26" s="3">
        <f>470.37+438.48</f>
        <v>908.85</v>
      </c>
      <c r="N26" s="2">
        <f t="shared" si="12"/>
        <v>2130.0600000000004</v>
      </c>
      <c r="O26" s="2">
        <f t="shared" si="1"/>
        <v>4384.3700000000008</v>
      </c>
      <c r="P26" s="18">
        <f t="shared" si="2"/>
        <v>5054.41</v>
      </c>
      <c r="Q26" s="24"/>
      <c r="R26" s="25">
        <v>5054.41</v>
      </c>
    </row>
    <row r="27" spans="1:18" x14ac:dyDescent="0.25">
      <c r="A27" s="42">
        <v>21</v>
      </c>
      <c r="B27" s="16" t="s">
        <v>73</v>
      </c>
      <c r="C27" s="14">
        <f>1022.95+355.99+9776.04</f>
        <v>11154.980000000001</v>
      </c>
      <c r="D27" s="27">
        <v>204.59</v>
      </c>
      <c r="E27" s="27"/>
      <c r="F27" s="27">
        <f>22169.42+7389.81</f>
        <v>29559.23</v>
      </c>
      <c r="G27" s="27"/>
      <c r="H27" s="27"/>
      <c r="I27" s="30"/>
      <c r="J27" s="30"/>
      <c r="K27" s="12">
        <f t="shared" si="11"/>
        <v>40918.800000000003</v>
      </c>
      <c r="L27" s="3"/>
      <c r="M27" s="3">
        <f>60.59+848.26</f>
        <v>908.85</v>
      </c>
      <c r="N27" s="2">
        <f t="shared" si="12"/>
        <v>40009.950000000004</v>
      </c>
      <c r="O27" s="2">
        <f t="shared" si="1"/>
        <v>40918.800000000003</v>
      </c>
      <c r="P27" s="18">
        <f t="shared" si="2"/>
        <v>0</v>
      </c>
      <c r="Q27" s="24"/>
      <c r="R27" s="25">
        <v>0</v>
      </c>
    </row>
    <row r="28" spans="1:18" x14ac:dyDescent="0.25">
      <c r="A28" s="42">
        <v>22</v>
      </c>
      <c r="B28" s="16" t="s">
        <v>12</v>
      </c>
      <c r="C28" s="14">
        <v>9377.86</v>
      </c>
      <c r="D28" s="27"/>
      <c r="E28" s="27"/>
      <c r="F28" s="27"/>
      <c r="G28" s="27"/>
      <c r="H28" s="27"/>
      <c r="I28" s="30"/>
      <c r="J28" s="30"/>
      <c r="K28" s="12">
        <f t="shared" si="11"/>
        <v>9377.86</v>
      </c>
      <c r="L28" s="3">
        <v>1380.84</v>
      </c>
      <c r="M28" s="3">
        <v>908.85</v>
      </c>
      <c r="N28" s="2">
        <f t="shared" si="12"/>
        <v>1834.0299999999997</v>
      </c>
      <c r="O28" s="2">
        <f t="shared" si="1"/>
        <v>4123.7199999999993</v>
      </c>
      <c r="P28" s="18">
        <f>SUM(K28-O28)+H28</f>
        <v>5254.1400000000012</v>
      </c>
      <c r="Q28" s="24"/>
      <c r="R28" s="25">
        <v>5254.14</v>
      </c>
    </row>
    <row r="29" spans="1:18" x14ac:dyDescent="0.25">
      <c r="A29" s="42">
        <v>23</v>
      </c>
      <c r="B29" s="16" t="s">
        <v>13</v>
      </c>
      <c r="C29" s="14">
        <f>9188.83+826.99</f>
        <v>10015.82</v>
      </c>
      <c r="D29" s="27"/>
      <c r="E29" s="27"/>
      <c r="F29" s="27"/>
      <c r="G29" s="27"/>
      <c r="H29" s="27"/>
      <c r="I29" s="30"/>
      <c r="J29" s="30"/>
      <c r="K29" s="12">
        <f t="shared" si="11"/>
        <v>10015.82</v>
      </c>
      <c r="L29" s="3">
        <v>1608.42</v>
      </c>
      <c r="M29" s="3">
        <f>397.42+511.43</f>
        <v>908.85</v>
      </c>
      <c r="N29" s="2">
        <f t="shared" si="12"/>
        <v>7.3799999999991996</v>
      </c>
      <c r="O29" s="2">
        <f t="shared" si="1"/>
        <v>2524.6499999999992</v>
      </c>
      <c r="P29" s="18">
        <f t="shared" si="2"/>
        <v>7491.17</v>
      </c>
      <c r="Q29" s="24"/>
      <c r="R29" s="25">
        <v>7491.17</v>
      </c>
    </row>
    <row r="30" spans="1:18" x14ac:dyDescent="0.25">
      <c r="A30" s="42">
        <v>24</v>
      </c>
      <c r="B30" s="16" t="s">
        <v>14</v>
      </c>
      <c r="C30" s="14">
        <f>3260.89+978.77</f>
        <v>4239.66</v>
      </c>
      <c r="D30" s="27">
        <v>817.33</v>
      </c>
      <c r="E30" s="27"/>
      <c r="F30" s="27">
        <f>4424.87+1474.96</f>
        <v>5899.83</v>
      </c>
      <c r="G30" s="27"/>
      <c r="H30" s="27"/>
      <c r="I30" s="30">
        <v>4740.9399999999996</v>
      </c>
      <c r="J30" s="30"/>
      <c r="K30" s="12">
        <f t="shared" si="11"/>
        <v>15697.759999999998</v>
      </c>
      <c r="L30" s="3">
        <f>330.32+444.86</f>
        <v>775.18000000000006</v>
      </c>
      <c r="M30" s="3">
        <f>264.06+644.79</f>
        <v>908.84999999999991</v>
      </c>
      <c r="N30" s="2">
        <f t="shared" si="12"/>
        <v>10401.319999999998</v>
      </c>
      <c r="O30" s="2">
        <f t="shared" si="1"/>
        <v>12085.349999999999</v>
      </c>
      <c r="P30" s="18">
        <f t="shared" si="2"/>
        <v>3612.41</v>
      </c>
      <c r="Q30" s="24"/>
      <c r="R30" s="25">
        <v>3612.41</v>
      </c>
    </row>
    <row r="31" spans="1:18" x14ac:dyDescent="0.25">
      <c r="A31" s="42">
        <v>25</v>
      </c>
      <c r="B31" s="16" t="s">
        <v>82</v>
      </c>
      <c r="C31" s="14">
        <v>3705.64</v>
      </c>
      <c r="D31" s="27"/>
      <c r="E31" s="27"/>
      <c r="F31" s="27"/>
      <c r="G31" s="27"/>
      <c r="H31" s="27"/>
      <c r="I31" s="30"/>
      <c r="J31" s="30"/>
      <c r="K31" s="12">
        <f t="shared" ref="K31" si="23">SUM(C31:I31)</f>
        <v>3705.64</v>
      </c>
      <c r="L31" s="3">
        <v>89.69</v>
      </c>
      <c r="M31" s="3">
        <v>343.49</v>
      </c>
      <c r="N31" s="2">
        <f t="shared" ref="N31" si="24">K31-L31-M31-R31</f>
        <v>38.579999999999927</v>
      </c>
      <c r="O31" s="2">
        <f t="shared" ref="O31" si="25">SUM(L31:N31)</f>
        <v>471.75999999999993</v>
      </c>
      <c r="P31" s="18">
        <f t="shared" ref="P31" si="26">SUM(K31-O31)</f>
        <v>3233.88</v>
      </c>
      <c r="Q31" s="24"/>
      <c r="R31" s="25">
        <v>3233.88</v>
      </c>
    </row>
    <row r="32" spans="1:18" x14ac:dyDescent="0.25">
      <c r="A32" s="42">
        <v>26</v>
      </c>
      <c r="B32" s="16" t="s">
        <v>15</v>
      </c>
      <c r="C32" s="14">
        <f>6498.26+2209.41</f>
        <v>8707.67</v>
      </c>
      <c r="D32" s="27"/>
      <c r="E32" s="27"/>
      <c r="F32" s="27"/>
      <c r="G32" s="27"/>
      <c r="H32" s="27"/>
      <c r="I32" s="30"/>
      <c r="J32" s="30"/>
      <c r="K32" s="12">
        <f t="shared" si="11"/>
        <v>8707.67</v>
      </c>
      <c r="L32" s="3">
        <v>1248.68</v>
      </c>
      <c r="M32" s="3">
        <v>908.85</v>
      </c>
      <c r="N32" s="2">
        <f t="shared" si="12"/>
        <v>309.30999999999949</v>
      </c>
      <c r="O32" s="2">
        <f t="shared" si="1"/>
        <v>2466.8399999999997</v>
      </c>
      <c r="P32" s="18">
        <f t="shared" si="2"/>
        <v>6240.83</v>
      </c>
      <c r="Q32" s="24"/>
      <c r="R32" s="25">
        <v>6240.83</v>
      </c>
    </row>
    <row r="33" spans="1:18" x14ac:dyDescent="0.25">
      <c r="A33" s="42">
        <v>27</v>
      </c>
      <c r="B33" s="16" t="s">
        <v>56</v>
      </c>
      <c r="C33" s="14">
        <f>6112.34+305.62</f>
        <v>6417.96</v>
      </c>
      <c r="D33" s="27"/>
      <c r="E33" s="27"/>
      <c r="F33" s="27"/>
      <c r="G33" s="27"/>
      <c r="H33" s="27"/>
      <c r="I33" s="30"/>
      <c r="J33" s="30"/>
      <c r="K33" s="12">
        <f>SUM(C33:I33)</f>
        <v>6417.96</v>
      </c>
      <c r="L33" s="3">
        <v>671.67</v>
      </c>
      <c r="M33" s="3">
        <v>717.33</v>
      </c>
      <c r="N33" s="2">
        <f t="shared" ref="N33" si="27">K33-L33-M33-R33</f>
        <v>42.319999999999709</v>
      </c>
      <c r="O33" s="2">
        <f t="shared" ref="O33" si="28">SUM(L33:N33)</f>
        <v>1431.3199999999997</v>
      </c>
      <c r="P33" s="18">
        <f>SUM(K33-O33)+H33</f>
        <v>4986.6400000000003</v>
      </c>
      <c r="Q33" s="24"/>
      <c r="R33" s="25">
        <v>4986.6400000000003</v>
      </c>
    </row>
    <row r="34" spans="1:18" x14ac:dyDescent="0.25">
      <c r="A34" s="42">
        <v>28</v>
      </c>
      <c r="B34" s="16" t="s">
        <v>16</v>
      </c>
      <c r="C34" s="14">
        <f>2719.17+652.6</f>
        <v>3371.77</v>
      </c>
      <c r="D34" s="27"/>
      <c r="E34" s="27"/>
      <c r="F34" s="27"/>
      <c r="G34" s="27"/>
      <c r="H34" s="27"/>
      <c r="I34" s="30"/>
      <c r="J34" s="30"/>
      <c r="K34" s="12">
        <f>SUM(C34:I34)</f>
        <v>3371.77</v>
      </c>
      <c r="L34" s="3">
        <v>41.08</v>
      </c>
      <c r="M34" s="3">
        <v>303.43</v>
      </c>
      <c r="N34" s="2">
        <f t="shared" si="12"/>
        <v>781.07000000000016</v>
      </c>
      <c r="O34" s="2">
        <f t="shared" si="1"/>
        <v>1125.5800000000002</v>
      </c>
      <c r="P34" s="18">
        <f>SUM(K34-O34)+H34</f>
        <v>2246.1899999999996</v>
      </c>
      <c r="Q34" s="24"/>
      <c r="R34" s="25">
        <v>2246.19</v>
      </c>
    </row>
    <row r="35" spans="1:18" x14ac:dyDescent="0.25">
      <c r="A35" s="42">
        <v>29</v>
      </c>
      <c r="B35" s="16" t="s">
        <v>17</v>
      </c>
      <c r="C35" s="14">
        <f>6816+1226.88</f>
        <v>8042.88</v>
      </c>
      <c r="D35" s="27">
        <v>1363.2</v>
      </c>
      <c r="E35" s="27"/>
      <c r="F35" s="27"/>
      <c r="G35" s="27"/>
      <c r="H35" s="27"/>
      <c r="I35" s="30"/>
      <c r="J35" s="30"/>
      <c r="K35" s="12">
        <f>SUM(C35:I35)</f>
        <v>9406.08</v>
      </c>
      <c r="L35" s="3">
        <v>1440.74</v>
      </c>
      <c r="M35" s="3">
        <v>908.85</v>
      </c>
      <c r="N35" s="2">
        <f t="shared" si="12"/>
        <v>67.319999999999709</v>
      </c>
      <c r="O35" s="2">
        <f t="shared" si="1"/>
        <v>2416.91</v>
      </c>
      <c r="P35" s="18">
        <f t="shared" si="2"/>
        <v>6989.17</v>
      </c>
      <c r="Q35" s="24"/>
      <c r="R35" s="25">
        <v>6989.17</v>
      </c>
    </row>
    <row r="36" spans="1:18" x14ac:dyDescent="0.25">
      <c r="A36" s="42">
        <v>30</v>
      </c>
      <c r="B36" s="16" t="s">
        <v>18</v>
      </c>
      <c r="C36" s="14">
        <f>15344.28+4971.55+237.65</f>
        <v>20553.480000000003</v>
      </c>
      <c r="D36" s="27">
        <v>3068.86</v>
      </c>
      <c r="E36" s="27"/>
      <c r="F36" s="27"/>
      <c r="G36" s="27"/>
      <c r="H36" s="27"/>
      <c r="I36" s="30"/>
      <c r="J36" s="30"/>
      <c r="K36" s="12">
        <f t="shared" ref="K36:K42" si="29">SUM(C36:I36)</f>
        <v>23622.340000000004</v>
      </c>
      <c r="L36" s="3">
        <v>5284.86</v>
      </c>
      <c r="M36" s="3">
        <v>908.85</v>
      </c>
      <c r="N36" s="2">
        <f t="shared" si="12"/>
        <v>10989.890000000005</v>
      </c>
      <c r="O36" s="2">
        <f t="shared" si="1"/>
        <v>17183.600000000006</v>
      </c>
      <c r="P36" s="18">
        <f t="shared" si="2"/>
        <v>6438.739999999998</v>
      </c>
      <c r="Q36" s="24"/>
      <c r="R36" s="25">
        <v>6438.74</v>
      </c>
    </row>
    <row r="37" spans="1:18" x14ac:dyDescent="0.25">
      <c r="A37" s="42">
        <v>31</v>
      </c>
      <c r="B37" s="16" t="s">
        <v>75</v>
      </c>
      <c r="C37" s="14">
        <f>5262.28+63.15</f>
        <v>5325.4299999999994</v>
      </c>
      <c r="D37" s="27">
        <v>1052.46</v>
      </c>
      <c r="E37" s="27"/>
      <c r="F37" s="27"/>
      <c r="G37" s="27"/>
      <c r="H37" s="27"/>
      <c r="I37" s="30"/>
      <c r="J37" s="30"/>
      <c r="K37" s="12">
        <f t="shared" si="29"/>
        <v>6377.8899999999994</v>
      </c>
      <c r="L37" s="3">
        <v>662.2</v>
      </c>
      <c r="M37" s="3">
        <v>711.72</v>
      </c>
      <c r="N37" s="2">
        <f t="shared" ref="N37" si="30">K37-L37-M37-R37</f>
        <v>7.3799999999991996</v>
      </c>
      <c r="O37" s="2">
        <f t="shared" ref="O37" si="31">SUM(L37:N37)</f>
        <v>1381.2999999999993</v>
      </c>
      <c r="P37" s="18">
        <f t="shared" ref="P37" si="32">SUM(K37-O37)</f>
        <v>4996.59</v>
      </c>
      <c r="Q37" s="24"/>
      <c r="R37" s="25">
        <v>4996.59</v>
      </c>
    </row>
    <row r="38" spans="1:18" x14ac:dyDescent="0.25">
      <c r="A38" s="42">
        <v>32</v>
      </c>
      <c r="B38" s="16" t="s">
        <v>57</v>
      </c>
      <c r="C38" s="14">
        <f>6615.54+1111.41</f>
        <v>7726.95</v>
      </c>
      <c r="D38" s="27">
        <v>1323.11</v>
      </c>
      <c r="E38" s="27"/>
      <c r="F38" s="27"/>
      <c r="G38" s="27"/>
      <c r="H38" s="27"/>
      <c r="I38" s="30"/>
      <c r="J38" s="30"/>
      <c r="K38" s="12">
        <f t="shared" si="29"/>
        <v>9050.06</v>
      </c>
      <c r="L38" s="3">
        <v>1342.83</v>
      </c>
      <c r="M38" s="3">
        <f>550.29+358.56</f>
        <v>908.84999999999991</v>
      </c>
      <c r="N38" s="2">
        <f t="shared" si="12"/>
        <v>628.20999999999913</v>
      </c>
      <c r="O38" s="2">
        <f t="shared" si="1"/>
        <v>2879.889999999999</v>
      </c>
      <c r="P38" s="18">
        <f t="shared" si="2"/>
        <v>6170.17</v>
      </c>
      <c r="Q38" s="24"/>
      <c r="R38" s="25">
        <v>6170.17</v>
      </c>
    </row>
    <row r="39" spans="1:18" x14ac:dyDescent="0.25">
      <c r="A39" s="42">
        <v>33</v>
      </c>
      <c r="B39" s="16" t="s">
        <v>19</v>
      </c>
      <c r="C39" s="14">
        <f>4450.19+604.02</f>
        <v>5054.2099999999991</v>
      </c>
      <c r="D39" s="27">
        <f>890.04+699.99</f>
        <v>1590.03</v>
      </c>
      <c r="E39" s="27"/>
      <c r="F39" s="27">
        <f>2517.53+839.18</f>
        <v>3356.71</v>
      </c>
      <c r="G39" s="27">
        <f>1258.77+419.59</f>
        <v>1678.36</v>
      </c>
      <c r="H39" s="27"/>
      <c r="I39" s="30"/>
      <c r="J39" s="30"/>
      <c r="K39" s="12">
        <f t="shared" si="29"/>
        <v>11679.31</v>
      </c>
      <c r="L39" s="3">
        <v>683.77</v>
      </c>
      <c r="M39" s="3">
        <f>520.45+388.4</f>
        <v>908.85</v>
      </c>
      <c r="N39" s="2">
        <f t="shared" si="12"/>
        <v>7588.3299999999981</v>
      </c>
      <c r="O39" s="2">
        <f t="shared" si="1"/>
        <v>9180.9499999999971</v>
      </c>
      <c r="P39" s="18">
        <f>SUM(K39-O39)+H39</f>
        <v>2498.3600000000024</v>
      </c>
      <c r="Q39" s="24"/>
      <c r="R39" s="25">
        <v>2498.36</v>
      </c>
    </row>
    <row r="40" spans="1:18" x14ac:dyDescent="0.25">
      <c r="A40" s="42">
        <v>34</v>
      </c>
      <c r="B40" s="16" t="s">
        <v>54</v>
      </c>
      <c r="C40" s="14">
        <v>3052.34</v>
      </c>
      <c r="D40" s="27"/>
      <c r="E40" s="27"/>
      <c r="F40" s="27"/>
      <c r="G40" s="27"/>
      <c r="H40" s="27"/>
      <c r="I40" s="30"/>
      <c r="J40" s="30"/>
      <c r="K40" s="12">
        <f t="shared" si="29"/>
        <v>3052.34</v>
      </c>
      <c r="L40" s="3">
        <v>17.13</v>
      </c>
      <c r="M40" s="3">
        <v>265.08999999999997</v>
      </c>
      <c r="N40" s="2">
        <f t="shared" ref="N40" si="33">K40-L40-M40-R40</f>
        <v>46.309999999999945</v>
      </c>
      <c r="O40" s="2">
        <f t="shared" ref="O40" si="34">SUM(L40:N40)</f>
        <v>328.52999999999992</v>
      </c>
      <c r="P40" s="18">
        <f t="shared" ref="P40" si="35">SUM(K40-O40)</f>
        <v>2723.8100000000004</v>
      </c>
      <c r="Q40" s="24"/>
      <c r="R40" s="25">
        <v>2723.81</v>
      </c>
    </row>
    <row r="41" spans="1:18" x14ac:dyDescent="0.25">
      <c r="A41" s="42">
        <v>35</v>
      </c>
      <c r="B41" s="16" t="s">
        <v>20</v>
      </c>
      <c r="C41" s="14">
        <f>3959.24+628.96</f>
        <v>4588.2</v>
      </c>
      <c r="D41" s="27">
        <v>533.33000000000004</v>
      </c>
      <c r="E41" s="27"/>
      <c r="F41" s="27"/>
      <c r="G41" s="27"/>
      <c r="H41" s="27"/>
      <c r="I41" s="30"/>
      <c r="J41" s="30"/>
      <c r="K41" s="12">
        <f t="shared" si="29"/>
        <v>5121.53</v>
      </c>
      <c r="L41" s="3">
        <v>362.49</v>
      </c>
      <c r="M41" s="3">
        <v>535.83000000000004</v>
      </c>
      <c r="N41" s="2">
        <f t="shared" si="12"/>
        <v>568.34999999999991</v>
      </c>
      <c r="O41" s="2">
        <f t="shared" si="1"/>
        <v>1466.67</v>
      </c>
      <c r="P41" s="18">
        <f t="shared" si="2"/>
        <v>3654.8599999999997</v>
      </c>
      <c r="Q41" s="24"/>
      <c r="R41" s="25">
        <v>3654.86</v>
      </c>
    </row>
    <row r="42" spans="1:18" x14ac:dyDescent="0.25">
      <c r="A42" s="42">
        <v>36</v>
      </c>
      <c r="B42" s="16" t="s">
        <v>21</v>
      </c>
      <c r="C42" s="14">
        <f>15652.7+5259.31</f>
        <v>20912.010000000002</v>
      </c>
      <c r="D42" s="27">
        <v>3130.54</v>
      </c>
      <c r="E42" s="27"/>
      <c r="F42" s="27"/>
      <c r="G42" s="27"/>
      <c r="H42" s="27"/>
      <c r="I42" s="30"/>
      <c r="J42" s="30"/>
      <c r="K42" s="12">
        <f t="shared" si="29"/>
        <v>24042.550000000003</v>
      </c>
      <c r="L42" s="3">
        <v>5361.49</v>
      </c>
      <c r="M42" s="3">
        <f>772.52+136.33</f>
        <v>908.85</v>
      </c>
      <c r="N42" s="2">
        <f t="shared" si="12"/>
        <v>91.380000000004657</v>
      </c>
      <c r="O42" s="2">
        <f t="shared" si="1"/>
        <v>6361.7200000000048</v>
      </c>
      <c r="P42" s="18">
        <f t="shared" si="2"/>
        <v>17680.829999999998</v>
      </c>
      <c r="Q42" s="24"/>
      <c r="R42" s="25">
        <v>17680.830000000002</v>
      </c>
    </row>
    <row r="43" spans="1:18" x14ac:dyDescent="0.25">
      <c r="A43" s="42">
        <v>37</v>
      </c>
      <c r="B43" s="32" t="s">
        <v>22</v>
      </c>
      <c r="C43" s="33">
        <f>2890.63+404.69</f>
        <v>3295.32</v>
      </c>
      <c r="D43" s="28"/>
      <c r="E43" s="28"/>
      <c r="F43" s="28"/>
      <c r="G43" s="27"/>
      <c r="H43" s="27"/>
      <c r="I43" s="30"/>
      <c r="J43" s="30"/>
      <c r="K43" s="34">
        <f t="shared" ref="K43:K52" si="36">SUM(C43:I43)</f>
        <v>3295.32</v>
      </c>
      <c r="L43" s="35">
        <v>35.35</v>
      </c>
      <c r="M43" s="35">
        <v>294.25</v>
      </c>
      <c r="N43" s="36">
        <f t="shared" ref="N43:N64" si="37">K43-L43-M43-R43</f>
        <v>820.90000000000009</v>
      </c>
      <c r="O43" s="36">
        <f t="shared" si="1"/>
        <v>1150.5</v>
      </c>
      <c r="P43" s="37">
        <f t="shared" si="2"/>
        <v>2144.8200000000002</v>
      </c>
      <c r="Q43" s="24"/>
      <c r="R43" s="25">
        <v>2144.8200000000002</v>
      </c>
    </row>
    <row r="44" spans="1:18" x14ac:dyDescent="0.25">
      <c r="A44" s="42">
        <v>38</v>
      </c>
      <c r="B44" s="32" t="s">
        <v>76</v>
      </c>
      <c r="C44" s="33">
        <f>2593.95+25.94</f>
        <v>2619.89</v>
      </c>
      <c r="D44" s="28"/>
      <c r="E44" s="28"/>
      <c r="F44" s="28">
        <f>1122.81+374.27</f>
        <v>1497.08</v>
      </c>
      <c r="G44" s="27"/>
      <c r="H44" s="27"/>
      <c r="I44" s="30"/>
      <c r="J44" s="30"/>
      <c r="K44" s="34">
        <f t="shared" ref="K44" si="38">SUM(C44:I44)</f>
        <v>4116.9699999999993</v>
      </c>
      <c r="L44" s="35"/>
      <c r="M44" s="35">
        <f>281.64+113.55</f>
        <v>395.19</v>
      </c>
      <c r="N44" s="36">
        <f t="shared" ref="N44" si="39">K44-L44-M44-R44</f>
        <v>1588.5499999999993</v>
      </c>
      <c r="O44" s="36">
        <f t="shared" ref="O44" si="40">SUM(L44:N44)</f>
        <v>1983.7399999999993</v>
      </c>
      <c r="P44" s="37">
        <f t="shared" ref="P44" si="41">SUM(K44-O44)</f>
        <v>2133.23</v>
      </c>
      <c r="Q44" s="24"/>
      <c r="R44" s="25">
        <v>2133.23</v>
      </c>
    </row>
    <row r="45" spans="1:18" x14ac:dyDescent="0.25">
      <c r="A45" s="42">
        <v>39</v>
      </c>
      <c r="B45" s="16" t="s">
        <v>23</v>
      </c>
      <c r="C45" s="14">
        <f>4716.7+1364.01</f>
        <v>6080.71</v>
      </c>
      <c r="D45" s="27">
        <v>966.67</v>
      </c>
      <c r="E45" s="27"/>
      <c r="F45" s="27">
        <f>201.68+67.23</f>
        <v>268.91000000000003</v>
      </c>
      <c r="G45" s="27"/>
      <c r="H45" s="27"/>
      <c r="I45" s="30"/>
      <c r="J45" s="30"/>
      <c r="K45" s="12">
        <f t="shared" si="36"/>
        <v>7316.29</v>
      </c>
      <c r="L45" s="3">
        <v>817.6</v>
      </c>
      <c r="M45" s="3">
        <f>816.1+26.99</f>
        <v>843.09</v>
      </c>
      <c r="N45" s="2">
        <f t="shared" si="37"/>
        <v>1218.5099999999993</v>
      </c>
      <c r="O45" s="2">
        <f t="shared" si="1"/>
        <v>2879.1999999999994</v>
      </c>
      <c r="P45" s="18">
        <f t="shared" si="2"/>
        <v>4437.09</v>
      </c>
      <c r="Q45" s="24"/>
      <c r="R45" s="25">
        <v>4437.09</v>
      </c>
    </row>
    <row r="46" spans="1:18" x14ac:dyDescent="0.25">
      <c r="A46" s="42">
        <v>40</v>
      </c>
      <c r="B46" s="16" t="s">
        <v>24</v>
      </c>
      <c r="C46" s="14">
        <f>10354.2+1760.21</f>
        <v>12114.41</v>
      </c>
      <c r="D46" s="27"/>
      <c r="E46" s="27"/>
      <c r="F46" s="27"/>
      <c r="G46" s="27"/>
      <c r="H46" s="27"/>
      <c r="I46" s="30">
        <v>2864.35</v>
      </c>
      <c r="J46" s="30"/>
      <c r="K46" s="12">
        <f t="shared" si="36"/>
        <v>14978.76</v>
      </c>
      <c r="L46" s="3">
        <v>2921.09</v>
      </c>
      <c r="M46" s="3">
        <f>31.9+876.95</f>
        <v>908.85</v>
      </c>
      <c r="N46" s="2">
        <f t="shared" si="37"/>
        <v>844.04999999999927</v>
      </c>
      <c r="O46" s="2">
        <f t="shared" si="1"/>
        <v>4673.99</v>
      </c>
      <c r="P46" s="18">
        <f t="shared" si="2"/>
        <v>10304.77</v>
      </c>
      <c r="Q46" s="24"/>
      <c r="R46" s="25">
        <v>10304.77</v>
      </c>
    </row>
    <row r="47" spans="1:18" x14ac:dyDescent="0.25">
      <c r="A47" s="42">
        <v>41</v>
      </c>
      <c r="B47" s="16" t="s">
        <v>25</v>
      </c>
      <c r="C47" s="14">
        <f>7223.9+3839.4+135.82</f>
        <v>11199.119999999999</v>
      </c>
      <c r="D47" s="27">
        <v>6996.09</v>
      </c>
      <c r="E47" s="27"/>
      <c r="F47" s="27"/>
      <c r="G47" s="27"/>
      <c r="H47" s="27"/>
      <c r="I47" s="30"/>
      <c r="J47" s="30"/>
      <c r="K47" s="12">
        <f t="shared" si="36"/>
        <v>18195.21</v>
      </c>
      <c r="L47" s="3">
        <v>3820.4</v>
      </c>
      <c r="M47" s="3">
        <v>908.85</v>
      </c>
      <c r="N47" s="2">
        <f>K47-L47-M47-R47</f>
        <v>1254.8599999999988</v>
      </c>
      <c r="O47" s="2">
        <f>SUM(L47:N47)</f>
        <v>5984.1099999999988</v>
      </c>
      <c r="P47" s="18">
        <f t="shared" si="2"/>
        <v>12211.1</v>
      </c>
      <c r="Q47" s="24"/>
      <c r="R47" s="25">
        <v>12211.1</v>
      </c>
    </row>
    <row r="48" spans="1:18" x14ac:dyDescent="0.25">
      <c r="A48" s="42">
        <v>42</v>
      </c>
      <c r="B48" s="16" t="s">
        <v>26</v>
      </c>
      <c r="C48" s="14">
        <f>6953+1418.41</f>
        <v>8371.41</v>
      </c>
      <c r="D48" s="27">
        <v>1390.6</v>
      </c>
      <c r="E48" s="27"/>
      <c r="F48" s="27"/>
      <c r="G48" s="27"/>
      <c r="H48" s="27"/>
      <c r="I48" s="30"/>
      <c r="J48" s="30"/>
      <c r="K48" s="12">
        <f t="shared" si="36"/>
        <v>9762.01</v>
      </c>
      <c r="L48" s="3">
        <v>1434.34</v>
      </c>
      <c r="M48" s="3">
        <f>272.84+636.01</f>
        <v>908.84999999999991</v>
      </c>
      <c r="N48" s="2">
        <f t="shared" si="37"/>
        <v>576.25</v>
      </c>
      <c r="O48" s="2">
        <f t="shared" si="1"/>
        <v>2919.4399999999996</v>
      </c>
      <c r="P48" s="18">
        <f t="shared" si="2"/>
        <v>6842.5700000000006</v>
      </c>
      <c r="Q48" s="24"/>
      <c r="R48" s="25">
        <v>6842.57</v>
      </c>
    </row>
    <row r="49" spans="1:18" x14ac:dyDescent="0.25">
      <c r="A49" s="42">
        <v>43</v>
      </c>
      <c r="B49" s="16" t="s">
        <v>84</v>
      </c>
      <c r="C49" s="14">
        <v>2659.24</v>
      </c>
      <c r="D49" s="27"/>
      <c r="E49" s="27"/>
      <c r="F49" s="27"/>
      <c r="G49" s="27"/>
      <c r="H49" s="27"/>
      <c r="I49" s="30"/>
      <c r="J49" s="30"/>
      <c r="K49" s="12">
        <f t="shared" si="36"/>
        <v>2659.24</v>
      </c>
      <c r="L49" s="3"/>
      <c r="M49" s="3">
        <v>218.15</v>
      </c>
      <c r="N49" s="2">
        <f t="shared" ref="N49" si="42">K49-L49-M49-R49</f>
        <v>32.339999999999691</v>
      </c>
      <c r="O49" s="2">
        <f t="shared" ref="O49" si="43">SUM(L49:N49)</f>
        <v>250.4899999999997</v>
      </c>
      <c r="P49" s="18">
        <f t="shared" ref="P49" si="44">SUM(K49-O49)</f>
        <v>2408.75</v>
      </c>
      <c r="Q49" s="24"/>
      <c r="R49" s="25">
        <v>2408.75</v>
      </c>
    </row>
    <row r="50" spans="1:18" x14ac:dyDescent="0.25">
      <c r="A50" s="42">
        <v>44</v>
      </c>
      <c r="B50" s="16" t="s">
        <v>27</v>
      </c>
      <c r="C50" s="14">
        <v>9681.84</v>
      </c>
      <c r="D50" s="27"/>
      <c r="E50" s="27"/>
      <c r="F50" s="27"/>
      <c r="G50" s="27"/>
      <c r="H50" s="27"/>
      <c r="I50" s="30"/>
      <c r="J50" s="30"/>
      <c r="K50" s="12">
        <f t="shared" si="36"/>
        <v>9681.84</v>
      </c>
      <c r="L50" s="3">
        <v>1464.44</v>
      </c>
      <c r="M50" s="3">
        <f>668.03+240.82</f>
        <v>908.84999999999991</v>
      </c>
      <c r="N50" s="2">
        <f t="shared" si="37"/>
        <v>1438.1499999999996</v>
      </c>
      <c r="O50" s="2">
        <f t="shared" si="1"/>
        <v>3811.4399999999996</v>
      </c>
      <c r="P50" s="18">
        <f>SUM(K50-O50)+H50</f>
        <v>5870.4000000000005</v>
      </c>
      <c r="Q50" s="24"/>
      <c r="R50" s="25">
        <v>5870.4</v>
      </c>
    </row>
    <row r="51" spans="1:18" x14ac:dyDescent="0.25">
      <c r="A51" s="42">
        <v>45</v>
      </c>
      <c r="B51" s="16" t="s">
        <v>28</v>
      </c>
      <c r="C51" s="14">
        <f>6748.52+1133.75</f>
        <v>7882.27</v>
      </c>
      <c r="D51" s="27">
        <v>1349.7</v>
      </c>
      <c r="E51" s="27"/>
      <c r="F51" s="27"/>
      <c r="G51" s="27"/>
      <c r="H51" s="27"/>
      <c r="I51" s="30"/>
      <c r="J51" s="30"/>
      <c r="K51" s="12">
        <f t="shared" si="36"/>
        <v>9231.9700000000012</v>
      </c>
      <c r="L51" s="3">
        <v>1392.86</v>
      </c>
      <c r="M51" s="3">
        <v>908.85</v>
      </c>
      <c r="N51" s="2">
        <f t="shared" si="37"/>
        <v>1011.920000000001</v>
      </c>
      <c r="O51" s="2">
        <f t="shared" si="1"/>
        <v>3313.630000000001</v>
      </c>
      <c r="P51" s="18">
        <f>SUM(K51-O51)+H51</f>
        <v>5918.34</v>
      </c>
      <c r="Q51" s="24"/>
      <c r="R51" s="25">
        <v>5918.34</v>
      </c>
    </row>
    <row r="52" spans="1:18" x14ac:dyDescent="0.25">
      <c r="A52" s="42">
        <v>46</v>
      </c>
      <c r="B52" s="16" t="s">
        <v>29</v>
      </c>
      <c r="C52" s="14">
        <f>5099.45+713.92</f>
        <v>5813.37</v>
      </c>
      <c r="D52" s="27"/>
      <c r="E52" s="27"/>
      <c r="F52" s="27"/>
      <c r="G52" s="27"/>
      <c r="H52" s="27"/>
      <c r="I52" s="30"/>
      <c r="J52" s="30"/>
      <c r="K52" s="12">
        <f t="shared" si="36"/>
        <v>5813.37</v>
      </c>
      <c r="L52" s="3">
        <v>476.55</v>
      </c>
      <c r="M52" s="3">
        <v>632.67999999999995</v>
      </c>
      <c r="N52" s="2">
        <f t="shared" si="37"/>
        <v>1196.4199999999996</v>
      </c>
      <c r="O52" s="2">
        <f t="shared" si="1"/>
        <v>2305.6499999999996</v>
      </c>
      <c r="P52" s="18">
        <f t="shared" si="2"/>
        <v>3507.7200000000003</v>
      </c>
      <c r="Q52" s="24"/>
      <c r="R52" s="25">
        <v>3507.72</v>
      </c>
    </row>
    <row r="53" spans="1:18" x14ac:dyDescent="0.25">
      <c r="A53" s="42">
        <v>47</v>
      </c>
      <c r="B53" s="16" t="s">
        <v>30</v>
      </c>
      <c r="C53" s="14">
        <f>6681.7+1403.16</f>
        <v>8084.86</v>
      </c>
      <c r="D53" s="27">
        <v>2672.68</v>
      </c>
      <c r="E53" s="27"/>
      <c r="F53" s="27"/>
      <c r="G53" s="27"/>
      <c r="H53" s="27"/>
      <c r="I53" s="30"/>
      <c r="J53" s="30"/>
      <c r="K53" s="12">
        <f t="shared" ref="K53:K61" si="45">SUM(C53:I53)</f>
        <v>10757.539999999999</v>
      </c>
      <c r="L53" s="3">
        <v>1760.25</v>
      </c>
      <c r="M53" s="3">
        <f>714.73+194.12</f>
        <v>908.85</v>
      </c>
      <c r="N53" s="2">
        <f t="shared" si="37"/>
        <v>267.7599999999984</v>
      </c>
      <c r="O53" s="2">
        <f t="shared" si="1"/>
        <v>2936.8599999999983</v>
      </c>
      <c r="P53" s="18">
        <f t="shared" si="2"/>
        <v>7820.68</v>
      </c>
      <c r="Q53" s="24"/>
      <c r="R53" s="25">
        <v>7820.68</v>
      </c>
    </row>
    <row r="54" spans="1:18" x14ac:dyDescent="0.25">
      <c r="A54" s="42">
        <v>48</v>
      </c>
      <c r="B54" s="16" t="s">
        <v>31</v>
      </c>
      <c r="C54" s="14">
        <f>6952.69+933.37</f>
        <v>7886.0599999999995</v>
      </c>
      <c r="D54" s="27">
        <v>1532.5</v>
      </c>
      <c r="E54" s="27"/>
      <c r="F54" s="27"/>
      <c r="G54" s="27"/>
      <c r="H54" s="27"/>
      <c r="I54" s="30"/>
      <c r="J54" s="30"/>
      <c r="K54" s="12">
        <f t="shared" si="45"/>
        <v>9418.56</v>
      </c>
      <c r="L54" s="3">
        <v>1392.03</v>
      </c>
      <c r="M54" s="3">
        <v>908.85</v>
      </c>
      <c r="N54" s="2">
        <f t="shared" si="37"/>
        <v>962.45999999999913</v>
      </c>
      <c r="O54" s="2">
        <f t="shared" si="1"/>
        <v>3263.3399999999992</v>
      </c>
      <c r="P54" s="18">
        <f t="shared" si="2"/>
        <v>6155.22</v>
      </c>
      <c r="Q54" s="24"/>
      <c r="R54" s="25">
        <v>6155.22</v>
      </c>
    </row>
    <row r="55" spans="1:18" x14ac:dyDescent="0.25">
      <c r="A55" s="42">
        <v>49</v>
      </c>
      <c r="B55" s="16" t="s">
        <v>53</v>
      </c>
      <c r="C55" s="14">
        <v>3052.34</v>
      </c>
      <c r="D55" s="27"/>
      <c r="E55" s="27"/>
      <c r="F55" s="27"/>
      <c r="G55" s="27"/>
      <c r="H55" s="27"/>
      <c r="I55" s="30"/>
      <c r="J55" s="30"/>
      <c r="K55" s="12">
        <f t="shared" si="45"/>
        <v>3052.34</v>
      </c>
      <c r="L55" s="3">
        <v>17.13</v>
      </c>
      <c r="M55" s="3">
        <v>265.08999999999997</v>
      </c>
      <c r="N55" s="2">
        <f t="shared" ref="N55" si="46">K55-L55-M55-R55</f>
        <v>7.3800000000001091</v>
      </c>
      <c r="O55" s="2">
        <f t="shared" ref="O55" si="47">SUM(L55:N55)</f>
        <v>289.60000000000008</v>
      </c>
      <c r="P55" s="18">
        <f t="shared" ref="P55" si="48">SUM(K55-O55)</f>
        <v>2762.7400000000002</v>
      </c>
      <c r="Q55" s="24"/>
      <c r="R55" s="25">
        <v>2762.74</v>
      </c>
    </row>
    <row r="56" spans="1:18" x14ac:dyDescent="0.25">
      <c r="A56" s="42">
        <v>50</v>
      </c>
      <c r="B56" s="16" t="s">
        <v>32</v>
      </c>
      <c r="C56" s="14">
        <f>7748.87+2882.58</f>
        <v>10631.45</v>
      </c>
      <c r="D56" s="27">
        <v>1549.78</v>
      </c>
      <c r="E56" s="27"/>
      <c r="F56" s="27">
        <f>12181.22+4060.41</f>
        <v>16241.63</v>
      </c>
      <c r="G56" s="27"/>
      <c r="H56" s="27">
        <v>12181.22</v>
      </c>
      <c r="I56" s="30"/>
      <c r="J56" s="30"/>
      <c r="K56" s="12">
        <f t="shared" si="45"/>
        <v>40604.080000000002</v>
      </c>
      <c r="L56" s="3">
        <v>2298.52</v>
      </c>
      <c r="M56" s="3">
        <v>908.85</v>
      </c>
      <c r="N56" s="2">
        <f t="shared" si="37"/>
        <v>27855.620000000006</v>
      </c>
      <c r="O56" s="2">
        <f t="shared" si="1"/>
        <v>31062.990000000005</v>
      </c>
      <c r="P56" s="18">
        <f>SUM(K56-O56)+H56</f>
        <v>21722.309999999998</v>
      </c>
      <c r="Q56" s="24"/>
      <c r="R56" s="25">
        <v>9541.09</v>
      </c>
    </row>
    <row r="57" spans="1:18" x14ac:dyDescent="0.25">
      <c r="A57" s="42">
        <v>51</v>
      </c>
      <c r="B57" s="16" t="s">
        <v>33</v>
      </c>
      <c r="C57" s="14">
        <v>3415.86</v>
      </c>
      <c r="D57" s="27"/>
      <c r="E57" s="27"/>
      <c r="F57" s="27"/>
      <c r="G57" s="27"/>
      <c r="H57" s="27"/>
      <c r="I57" s="30"/>
      <c r="J57" s="30"/>
      <c r="K57" s="12">
        <f t="shared" si="45"/>
        <v>3415.86</v>
      </c>
      <c r="L57" s="3">
        <v>46.22</v>
      </c>
      <c r="M57" s="3">
        <v>308.72000000000003</v>
      </c>
      <c r="N57" s="2">
        <f t="shared" si="37"/>
        <v>46.650000000000091</v>
      </c>
      <c r="O57" s="2">
        <f t="shared" si="1"/>
        <v>401.59000000000015</v>
      </c>
      <c r="P57" s="18">
        <f t="shared" si="2"/>
        <v>3014.27</v>
      </c>
      <c r="Q57" s="24"/>
      <c r="R57" s="25">
        <v>3014.27</v>
      </c>
    </row>
    <row r="58" spans="1:18" x14ac:dyDescent="0.25">
      <c r="A58" s="42">
        <v>52</v>
      </c>
      <c r="B58" s="16" t="s">
        <v>71</v>
      </c>
      <c r="C58" s="14">
        <f>3817.92+86.36</f>
        <v>3904.28</v>
      </c>
      <c r="D58" s="27">
        <v>500</v>
      </c>
      <c r="E58" s="27"/>
      <c r="F58" s="27"/>
      <c r="G58" s="27"/>
      <c r="H58" s="27"/>
      <c r="I58" s="30"/>
      <c r="J58" s="30"/>
      <c r="K58" s="12">
        <f t="shared" si="45"/>
        <v>4404.2800000000007</v>
      </c>
      <c r="L58" s="3">
        <v>201.11</v>
      </c>
      <c r="M58" s="3">
        <v>435.41</v>
      </c>
      <c r="N58" s="2">
        <f t="shared" ref="N58" si="49">K58-L58-M58-R58</f>
        <v>38.580000000001291</v>
      </c>
      <c r="O58" s="2">
        <f t="shared" ref="O58" si="50">SUM(L58:N58)</f>
        <v>675.10000000000127</v>
      </c>
      <c r="P58" s="18">
        <f t="shared" ref="P58" si="51">SUM(K58-O58)</f>
        <v>3729.1799999999994</v>
      </c>
      <c r="Q58" s="24"/>
      <c r="R58" s="25">
        <v>3729.18</v>
      </c>
    </row>
    <row r="59" spans="1:18" x14ac:dyDescent="0.25">
      <c r="A59" s="42">
        <v>53</v>
      </c>
      <c r="B59" s="16" t="s">
        <v>77</v>
      </c>
      <c r="C59" s="14">
        <v>3742.7</v>
      </c>
      <c r="D59" s="27"/>
      <c r="E59" s="27"/>
      <c r="F59" s="27"/>
      <c r="G59" s="27"/>
      <c r="H59" s="27"/>
      <c r="I59" s="30"/>
      <c r="J59" s="30"/>
      <c r="K59" s="12">
        <f t="shared" si="45"/>
        <v>3742.7</v>
      </c>
      <c r="L59" s="3">
        <v>95.25</v>
      </c>
      <c r="M59" s="3">
        <v>347.94</v>
      </c>
      <c r="N59" s="2">
        <f t="shared" ref="N59" si="52">K59-L59-M59-R59</f>
        <v>38.579999999999927</v>
      </c>
      <c r="O59" s="2">
        <f t="shared" ref="O59" si="53">SUM(L59:N59)</f>
        <v>481.76999999999992</v>
      </c>
      <c r="P59" s="18">
        <f t="shared" ref="P59" si="54">SUM(K59-O59)</f>
        <v>3260.93</v>
      </c>
      <c r="Q59" s="24"/>
      <c r="R59" s="25">
        <v>3260.93</v>
      </c>
    </row>
    <row r="60" spans="1:18" x14ac:dyDescent="0.25">
      <c r="A60" s="42">
        <v>54</v>
      </c>
      <c r="B60" s="16" t="s">
        <v>34</v>
      </c>
      <c r="C60" s="14">
        <f>6839.05+3351.14</f>
        <v>10190.19</v>
      </c>
      <c r="D60" s="27">
        <v>2735.62</v>
      </c>
      <c r="E60" s="27"/>
      <c r="F60" s="27">
        <f>12925.81+4308.6</f>
        <v>17234.41</v>
      </c>
      <c r="G60" s="27">
        <f>8617.2+2872.4</f>
        <v>11489.6</v>
      </c>
      <c r="H60" s="27">
        <v>12925.81</v>
      </c>
      <c r="I60" s="30"/>
      <c r="J60" s="30"/>
      <c r="K60" s="12">
        <f t="shared" si="45"/>
        <v>54575.63</v>
      </c>
      <c r="L60" s="3">
        <f>2503.28+3541.39</f>
        <v>6044.67</v>
      </c>
      <c r="M60" s="3">
        <v>908.85</v>
      </c>
      <c r="N60" s="2">
        <f t="shared" si="37"/>
        <v>39015.449999999997</v>
      </c>
      <c r="O60" s="2">
        <f t="shared" si="1"/>
        <v>45968.97</v>
      </c>
      <c r="P60" s="18">
        <f>SUM(K60-O60)+H60</f>
        <v>21532.469999999994</v>
      </c>
      <c r="Q60" s="24"/>
      <c r="R60" s="25">
        <v>8606.66</v>
      </c>
    </row>
    <row r="61" spans="1:18" x14ac:dyDescent="0.25">
      <c r="A61" s="42">
        <v>55</v>
      </c>
      <c r="B61" s="16" t="s">
        <v>35</v>
      </c>
      <c r="C61" s="14">
        <v>7201.02</v>
      </c>
      <c r="D61" s="27"/>
      <c r="E61" s="27"/>
      <c r="F61" s="27"/>
      <c r="G61" s="27"/>
      <c r="H61" s="27"/>
      <c r="I61" s="30"/>
      <c r="J61" s="30"/>
      <c r="K61" s="12">
        <f t="shared" si="45"/>
        <v>7201.02</v>
      </c>
      <c r="L61" s="3">
        <v>801.11</v>
      </c>
      <c r="M61" s="3">
        <v>824.81</v>
      </c>
      <c r="N61" s="2">
        <f t="shared" si="37"/>
        <v>2250.9600000000005</v>
      </c>
      <c r="O61" s="2">
        <f t="shared" si="1"/>
        <v>3876.8800000000006</v>
      </c>
      <c r="P61" s="18">
        <f t="shared" si="2"/>
        <v>3324.14</v>
      </c>
      <c r="Q61" s="24"/>
      <c r="R61" s="25">
        <v>3324.14</v>
      </c>
    </row>
    <row r="62" spans="1:18" x14ac:dyDescent="0.25">
      <c r="A62" s="42">
        <v>56</v>
      </c>
      <c r="B62" s="16" t="s">
        <v>58</v>
      </c>
      <c r="C62" s="14">
        <f>5755.28+230.21</f>
        <v>5985.49</v>
      </c>
      <c r="D62" s="27"/>
      <c r="E62" s="27"/>
      <c r="F62" s="27"/>
      <c r="G62" s="27"/>
      <c r="H62" s="27"/>
      <c r="I62" s="30"/>
      <c r="J62" s="30"/>
      <c r="K62" s="12">
        <f>SUM(C62:I62)</f>
        <v>5985.49</v>
      </c>
      <c r="L62" s="3">
        <v>569.4</v>
      </c>
      <c r="M62" s="3">
        <v>656.78</v>
      </c>
      <c r="N62" s="2">
        <f t="shared" ref="N62" si="55">K62-L62-M62-R62</f>
        <v>1129.7500000000005</v>
      </c>
      <c r="O62" s="2">
        <f t="shared" ref="O62" si="56">SUM(L62:N62)</f>
        <v>2355.9300000000003</v>
      </c>
      <c r="P62" s="18">
        <f t="shared" ref="P62" si="57">SUM(K62-O62)</f>
        <v>3629.5599999999995</v>
      </c>
      <c r="Q62" s="24"/>
      <c r="R62" s="25">
        <v>3629.56</v>
      </c>
    </row>
    <row r="63" spans="1:18" x14ac:dyDescent="0.25">
      <c r="A63" s="42">
        <v>57</v>
      </c>
      <c r="B63" s="47" t="s">
        <v>78</v>
      </c>
      <c r="C63" s="48">
        <v>3742.7</v>
      </c>
      <c r="D63" s="49"/>
      <c r="E63" s="49"/>
      <c r="F63" s="49"/>
      <c r="G63" s="27"/>
      <c r="H63" s="27"/>
      <c r="I63" s="30"/>
      <c r="J63" s="30"/>
      <c r="K63" s="12">
        <f>SUM(C63:I63)</f>
        <v>3742.7</v>
      </c>
      <c r="L63" s="50">
        <v>95.25</v>
      </c>
      <c r="M63" s="50">
        <v>347.94</v>
      </c>
      <c r="N63" s="2">
        <f t="shared" ref="N63" si="58">K63-L63-M63-R63</f>
        <v>276.22999999999956</v>
      </c>
      <c r="O63" s="2">
        <f t="shared" ref="O63" si="59">SUM(L63:N63)</f>
        <v>719.41999999999962</v>
      </c>
      <c r="P63" s="18">
        <f t="shared" ref="P63" si="60">SUM(K63-O63)</f>
        <v>3023.28</v>
      </c>
      <c r="Q63" s="24"/>
      <c r="R63" s="25">
        <v>3023.28</v>
      </c>
    </row>
    <row r="64" spans="1:18" ht="15.75" thickBot="1" x14ac:dyDescent="0.3">
      <c r="A64" s="42">
        <v>58</v>
      </c>
      <c r="B64" s="17" t="s">
        <v>36</v>
      </c>
      <c r="C64" s="15">
        <f>10562.32+2218.09</f>
        <v>12780.41</v>
      </c>
      <c r="D64" s="29">
        <v>4224.93</v>
      </c>
      <c r="E64" s="29"/>
      <c r="F64" s="29"/>
      <c r="G64" s="29"/>
      <c r="H64" s="29"/>
      <c r="I64" s="31">
        <v>2864.34</v>
      </c>
      <c r="J64" s="31"/>
      <c r="K64" s="13">
        <f>SUM(C64:J64)</f>
        <v>19869.68</v>
      </c>
      <c r="L64" s="10">
        <v>4266.09</v>
      </c>
      <c r="M64" s="10">
        <v>908.85</v>
      </c>
      <c r="N64" s="11">
        <f t="shared" si="37"/>
        <v>74.889999999999418</v>
      </c>
      <c r="O64" s="11">
        <f t="shared" si="1"/>
        <v>5249.83</v>
      </c>
      <c r="P64" s="19">
        <f t="shared" si="2"/>
        <v>14619.85</v>
      </c>
      <c r="Q64" s="24"/>
      <c r="R64" s="25">
        <v>14619.85</v>
      </c>
    </row>
    <row r="65" spans="2:16" ht="15.75" thickBot="1" x14ac:dyDescent="0.3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60" t="s">
        <v>81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2"/>
    </row>
    <row r="67" spans="2:16" ht="5.25" customHeight="1" x14ac:dyDescent="0.25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7" t="s">
        <v>67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</row>
    <row r="69" spans="2:16" x14ac:dyDescent="0.25">
      <c r="B69" s="54" t="s">
        <v>64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65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x14ac:dyDescent="0.25">
      <c r="B71" s="54" t="s">
        <v>66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6"/>
    </row>
    <row r="72" spans="2:16" ht="15.75" thickBot="1" x14ac:dyDescent="0.3">
      <c r="B72" s="51" t="s">
        <v>80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3"/>
    </row>
    <row r="73" spans="2:16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43"/>
      <c r="L74" s="5"/>
      <c r="M74" s="5"/>
      <c r="N74" s="5"/>
      <c r="O74" s="43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5"/>
      <c r="L75" s="45"/>
      <c r="M75" s="45"/>
      <c r="N75" s="45"/>
      <c r="O75" s="45"/>
      <c r="P75" s="45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2:P72"/>
    <mergeCell ref="B67:P67"/>
    <mergeCell ref="B68:P68"/>
    <mergeCell ref="B69:P69"/>
    <mergeCell ref="B71:P71"/>
    <mergeCell ref="B70:P70"/>
  </mergeCells>
  <pageMargins left="0.23622047244094491" right="3.937007874015748E-2" top="0.19685039370078741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2024-01-30T19:55:20Z</cp:lastPrinted>
  <dcterms:created xsi:type="dcterms:W3CDTF">2016-04-28T12:49:34Z</dcterms:created>
  <dcterms:modified xsi:type="dcterms:W3CDTF">2024-03-25T16:30:54Z</dcterms:modified>
</cp:coreProperties>
</file>