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1-JANEIRO\"/>
    </mc:Choice>
  </mc:AlternateContent>
  <xr:revisionPtr revIDLastSave="0" documentId="13_ncr:1_{05E4B1D4-0599-4074-9C0A-591171C2F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6" l="1"/>
  <c r="M52" i="6"/>
  <c r="L52" i="6"/>
  <c r="G52" i="6"/>
  <c r="F52" i="6"/>
  <c r="C52" i="6"/>
  <c r="C50" i="6"/>
  <c r="C49" i="6"/>
  <c r="M48" i="6"/>
  <c r="F48" i="6"/>
  <c r="C48" i="6"/>
  <c r="M47" i="6"/>
  <c r="F47" i="6"/>
  <c r="C47" i="6"/>
  <c r="C46" i="6"/>
  <c r="D46" i="6"/>
  <c r="M45" i="6"/>
  <c r="F45" i="6"/>
  <c r="C45" i="6"/>
  <c r="M41" i="6"/>
  <c r="L41" i="6"/>
  <c r="F41" i="6"/>
  <c r="C41" i="6"/>
  <c r="C37" i="6"/>
  <c r="C36" i="6"/>
  <c r="D36" i="6"/>
  <c r="M33" i="6"/>
  <c r="F33" i="6"/>
  <c r="C33" i="6"/>
  <c r="M32" i="6"/>
  <c r="G32" i="6"/>
  <c r="F32" i="6"/>
  <c r="C32" i="6"/>
  <c r="M31" i="6"/>
  <c r="F31" i="6"/>
  <c r="C31" i="6"/>
  <c r="M30" i="6"/>
  <c r="F30" i="6"/>
  <c r="C30" i="6"/>
  <c r="M28" i="6"/>
  <c r="F28" i="6"/>
  <c r="C28" i="6"/>
  <c r="M27" i="6"/>
  <c r="L27" i="6"/>
  <c r="F27" i="6"/>
  <c r="C27" i="6"/>
  <c r="C22" i="6"/>
  <c r="M18" i="6"/>
  <c r="L18" i="6"/>
  <c r="F18" i="6"/>
  <c r="C18" i="6"/>
  <c r="M15" i="6"/>
  <c r="L15" i="6"/>
  <c r="F15" i="6"/>
  <c r="C15" i="6"/>
  <c r="M14" i="6"/>
  <c r="L14" i="6"/>
  <c r="G14" i="6"/>
  <c r="F14" i="6"/>
  <c r="D14" i="6"/>
  <c r="C14" i="6"/>
  <c r="M12" i="6"/>
  <c r="G12" i="6"/>
  <c r="F12" i="6"/>
  <c r="C12" i="6"/>
  <c r="M8" i="6"/>
  <c r="F8" i="6"/>
  <c r="C8" i="6"/>
  <c r="C61" i="6"/>
  <c r="C59" i="6"/>
  <c r="D37" i="6"/>
  <c r="C13" i="6"/>
  <c r="C9" i="6"/>
  <c r="C53" i="6"/>
  <c r="C44" i="6"/>
  <c r="C40" i="6"/>
  <c r="C63" i="6"/>
  <c r="C35" i="6"/>
  <c r="C16" i="6"/>
  <c r="C7" i="6"/>
  <c r="K62" i="6"/>
  <c r="N62" i="6" s="1"/>
  <c r="O62" i="6" s="1"/>
  <c r="P62" i="6" s="1"/>
  <c r="C34" i="6"/>
  <c r="C55" i="6"/>
  <c r="C25" i="6"/>
  <c r="C23" i="6"/>
  <c r="K38" i="6"/>
  <c r="N38" i="6" l="1"/>
  <c r="O38" i="6" s="1"/>
  <c r="P38" i="6" s="1"/>
  <c r="K33" i="6"/>
  <c r="N33" i="6" s="1"/>
  <c r="O33" i="6" s="1"/>
  <c r="P33" i="6" s="1"/>
  <c r="K32" i="6" l="1"/>
  <c r="N32" i="6" s="1"/>
  <c r="O32" i="6" s="1"/>
  <c r="P32" i="6" s="1"/>
  <c r="K21" i="6"/>
  <c r="N21" i="6" s="1"/>
  <c r="O21" i="6" s="1"/>
  <c r="P21" i="6" s="1"/>
  <c r="K28" i="6" l="1"/>
  <c r="K19" i="6"/>
  <c r="N19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29" i="6"/>
  <c r="K30" i="6"/>
  <c r="K31" i="6"/>
  <c r="K34" i="6"/>
  <c r="K36" i="6"/>
  <c r="K37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0" i="6" l="1"/>
  <c r="O30" i="6" s="1"/>
  <c r="P30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6" i="6"/>
  <c r="O36" i="6" s="1"/>
  <c r="P36" i="6" s="1"/>
  <c r="N35" i="6"/>
  <c r="O35" i="6" s="1"/>
  <c r="P35" i="6" s="1"/>
  <c r="N34" i="6"/>
  <c r="O34" i="6" s="1"/>
  <c r="P34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1" i="6"/>
  <c r="O31" i="6" s="1"/>
  <c r="P31" i="6" s="1"/>
  <c r="N26" i="6"/>
  <c r="O26" i="6" s="1"/>
  <c r="P26" i="6" s="1"/>
  <c r="N37" i="6"/>
  <c r="O37" i="6" s="1"/>
  <c r="P37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29" i="6"/>
  <c r="O29" i="6" s="1"/>
  <c r="P29" i="6" s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<sst xmlns="http://schemas.openxmlformats.org/spreadsheetml/2006/main" count="89" uniqueCount="87">
  <si>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</si>
  <si>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</si>
  <si>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</si>
  <si>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</si>
  <si>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</si>
  <si>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</si>
  <si>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</si>
  <si>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</si>
  <si>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</si>
  <si>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</si>
  <si>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</si>
  <si>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</si>
  <si>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</si>
  <si>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</si>
  <si>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</si>
  <si>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</si>
  <si>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</si>
  <si>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</si>
  <si>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</si>
  <si>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</si>
  <si>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</si>
  <si>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</si>
  <si>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</si>
  <si>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</si>
  <si>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</si>
  <si>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</si>
  <si>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</si>
  <si>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</si>
  <si>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</si>
  <si>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</si>
  <si>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</si>
  <si>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</si>
  <si>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</si>
  <si>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</si>
  <si>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</si>
  <si>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</si>
  <si>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</si>
  <si>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</si>
  <si>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</si>
  <si>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</si>
  <si>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</si>
  <si>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</si>
  <si>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</si>
  <si>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</si>
  <si>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</si>
  <si>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</si>
  <si>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</si>
  <si>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</si>
  <si>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</si>
  <si>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</si>
  <si>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</si>
  <si>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</si>
  <si>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</si>
  <si>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</si>
  <si>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</si>
  <si>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</si>
  <si>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</si>
  <si>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</si>
  <si>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</si>
  <si>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</si>
  <si>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</si>
  <si>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</si>
  <si>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</si>
  <si>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</si>
  <si>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</si>
  <si>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</si>
  <si>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</si>
  <si>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</si>
  <si>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</si>
  <si>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</si>
  <si>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</si>
  <si>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</si>
  <si>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</si>
  <si>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</si>
  <si>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</si>
  <si>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</si>
  <si>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</si>
  <si>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</si>
  <si>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</si>
  <si>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</si>
  <si>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</si>
  <si>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</si>
  <si>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</si>
  <si>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</si>
  <si>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t>VINICIUS GABRIEL FRANK SALDANHA</t>
  </si>
  <si>
    <t>Janeiro/2026</t>
  </si>
  <si>
    <t>JERUZA FERNANDES MOURA BURGES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</si>
</sst>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4" sqref="R64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0" t="s">
        <v>85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46</v>
      </c>
      <c r="C5" s="68" t="s">
        <v>36</v>
      </c>
      <c r="D5" s="72" t="s">
        <v>58</v>
      </c>
      <c r="E5" s="68" t="s">
        <v>37</v>
      </c>
      <c r="F5" s="68" t="s">
        <v>59</v>
      </c>
      <c r="G5" s="34" t="s">
        <v>60</v>
      </c>
      <c r="H5" s="35" t="s">
        <v>62</v>
      </c>
      <c r="I5" s="18" t="s">
        <v>49</v>
      </c>
      <c r="J5" s="8" t="s">
        <v>66</v>
      </c>
      <c r="K5" s="18" t="s">
        <v>38</v>
      </c>
      <c r="L5" s="70" t="s">
        <v>40</v>
      </c>
      <c r="M5" s="68" t="s">
        <v>41</v>
      </c>
      <c r="N5" s="18" t="s">
        <v>42</v>
      </c>
      <c r="O5" s="8" t="s">
        <v>44</v>
      </c>
      <c r="P5" s="20" t="s">
        <v>38</v>
      </c>
    </row>
    <row r="6" spans="1:19" ht="15.75" thickBot="1" x14ac:dyDescent="0.3">
      <c r="B6" s="67"/>
      <c r="C6" s="69"/>
      <c r="D6" s="73"/>
      <c r="E6" s="69"/>
      <c r="F6" s="69"/>
      <c r="G6" s="36" t="s">
        <v>61</v>
      </c>
      <c r="H6" s="37" t="s">
        <v>51</v>
      </c>
      <c r="I6" s="19" t="s">
        <v>50</v>
      </c>
      <c r="J6" s="9" t="s">
        <v>67</v>
      </c>
      <c r="K6" s="19" t="s">
        <v>39</v>
      </c>
      <c r="L6" s="71"/>
      <c r="M6" s="69"/>
      <c r="N6" s="19" t="s">
        <v>43</v>
      </c>
      <c r="O6" s="9" t="s">
        <v>43</v>
      </c>
      <c r="P6" s="21" t="s">
        <v>45</v>
      </c>
    </row>
    <row r="7" spans="1:19" x14ac:dyDescent="0.25">
      <c r="A7" s="38">
        <v>1</v>
      </c>
      <c r="B7" s="47" t="s">
        <v>0</v>
      </c>
      <c r="C7" s="14">
        <f>8237.76+1272.89</f>
        <v>9510.65</v>
      </c>
      <c r="D7" s="24">
        <v>3333.98</v>
      </c>
      <c r="E7" s="24"/>
      <c r="F7" s="24"/>
      <c r="G7" s="24"/>
      <c r="H7" s="24"/>
      <c r="I7" s="27"/>
      <c r="J7" s="27"/>
      <c r="K7" s="12">
        <f t="shared" ref="K7:K14" si="0">SUM(C7:I7)</f>
        <v>12844.63</v>
      </c>
      <c r="L7" s="3">
        <v>2351.83</v>
      </c>
      <c r="M7" s="3">
        <v>988.07</v>
      </c>
      <c r="N7" s="2">
        <f>K7-L7-M7-R7</f>
        <v>52.850000000000364</v>
      </c>
      <c r="O7" s="2">
        <f t="shared" ref="O7:O63" si="1">SUM(L7:N7)</f>
        <v>3392.7500000000005</v>
      </c>
      <c r="P7" s="16">
        <f t="shared" ref="P7:P63" si="2">SUM(K7-O7)</f>
        <v>9451.8799999999992</v>
      </c>
      <c r="Q7" s="22"/>
      <c r="R7" s="46">
        <v>9451.8799999999992</v>
      </c>
    </row>
    <row r="8" spans="1:19" x14ac:dyDescent="0.25">
      <c r="A8" s="38">
        <v>2</v>
      </c>
      <c r="B8" s="47" t="s">
        <v>54</v>
      </c>
      <c r="C8" s="14">
        <f>3165.21+416.05</f>
        <v>3581.26</v>
      </c>
      <c r="D8" s="24">
        <v>2778.32</v>
      </c>
      <c r="E8" s="24"/>
      <c r="F8" s="24">
        <f>1271.92+423.97</f>
        <v>1695.89</v>
      </c>
      <c r="G8" s="24"/>
      <c r="H8" s="24"/>
      <c r="I8" s="27"/>
      <c r="J8" s="27"/>
      <c r="K8" s="12">
        <f t="shared" si="0"/>
        <v>8055.47</v>
      </c>
      <c r="L8" s="3">
        <v>488.43</v>
      </c>
      <c r="M8" s="3">
        <f>799.4+129.86</f>
        <v>929.26</v>
      </c>
      <c r="N8" s="2">
        <f t="shared" ref="N8:N13" si="3">K8-L8-M8-R8</f>
        <v>1680.1499999999996</v>
      </c>
      <c r="O8" s="2">
        <f t="shared" si="1"/>
        <v>3097.8399999999997</v>
      </c>
      <c r="P8" s="16">
        <f t="shared" si="2"/>
        <v>4957.630000000001</v>
      </c>
      <c r="Q8" s="22"/>
      <c r="R8" s="46">
        <v>4957.63</v>
      </c>
    </row>
    <row r="9" spans="1:19" x14ac:dyDescent="0.25">
      <c r="A9" s="38">
        <v>3</v>
      </c>
      <c r="B9" s="47" t="s">
        <v>70</v>
      </c>
      <c r="C9" s="14">
        <f>6914.39+331.89</f>
        <v>7246.2800000000007</v>
      </c>
      <c r="D9" s="24">
        <v>1382.88</v>
      </c>
      <c r="E9" s="24"/>
      <c r="F9" s="22"/>
      <c r="G9" s="22"/>
      <c r="H9" s="24"/>
      <c r="I9" s="27"/>
      <c r="J9" s="27"/>
      <c r="K9" s="12">
        <f t="shared" ref="K9:K10" si="4">SUM(C9:I9)</f>
        <v>8629.16</v>
      </c>
      <c r="L9" s="3">
        <v>1192.57</v>
      </c>
      <c r="M9" s="3">
        <v>988.07</v>
      </c>
      <c r="N9" s="2">
        <f t="shared" ref="N9:N10" si="5">K9-L9-M9-R9</f>
        <v>901.72000000000025</v>
      </c>
      <c r="O9" s="2">
        <f t="shared" ref="O9:O10" si="6">SUM(L9:N9)</f>
        <v>3082.36</v>
      </c>
      <c r="P9" s="16">
        <f t="shared" ref="P9:P10" si="7">SUM(K9-O9)</f>
        <v>5546.7999999999993</v>
      </c>
      <c r="Q9" s="22"/>
      <c r="R9" s="46">
        <v>5546.8</v>
      </c>
    </row>
    <row r="10" spans="1:19" x14ac:dyDescent="0.25">
      <c r="A10" s="38">
        <v>4</v>
      </c>
      <c r="B10" s="47" t="s">
        <v>72</v>
      </c>
      <c r="C10" s="14">
        <v>4780.8999999999996</v>
      </c>
      <c r="D10" s="24"/>
      <c r="E10" s="24"/>
      <c r="F10" s="24"/>
      <c r="G10" s="24"/>
      <c r="H10" s="24"/>
      <c r="I10" s="27"/>
      <c r="J10" s="27"/>
      <c r="K10" s="12">
        <f t="shared" si="4"/>
        <v>4780.8999999999996</v>
      </c>
      <c r="L10" s="3">
        <v>0</v>
      </c>
      <c r="M10" s="3">
        <v>470.82</v>
      </c>
      <c r="N10" s="2">
        <f t="shared" si="5"/>
        <v>9.3500000000003638</v>
      </c>
      <c r="O10" s="2">
        <f t="shared" si="6"/>
        <v>480.17000000000036</v>
      </c>
      <c r="P10" s="16">
        <f t="shared" si="7"/>
        <v>4300.7299999999996</v>
      </c>
      <c r="Q10" s="22"/>
      <c r="R10" s="46">
        <v>4300.7299999999996</v>
      </c>
    </row>
    <row r="11" spans="1:19" x14ac:dyDescent="0.25">
      <c r="A11" s="38">
        <v>5</v>
      </c>
      <c r="B11" s="47" t="s">
        <v>1</v>
      </c>
      <c r="C11" s="14">
        <v>5135.13</v>
      </c>
      <c r="D11" s="24"/>
      <c r="E11" s="24"/>
      <c r="F11" s="24"/>
      <c r="G11" s="24"/>
      <c r="H11" s="24"/>
      <c r="I11" s="27"/>
      <c r="J11" s="27"/>
      <c r="K11" s="12">
        <f t="shared" si="0"/>
        <v>5135.13</v>
      </c>
      <c r="L11" s="3">
        <v>48.4</v>
      </c>
      <c r="M11" s="3">
        <v>520.41999999999996</v>
      </c>
      <c r="N11" s="2">
        <f t="shared" si="3"/>
        <v>275.84000000000015</v>
      </c>
      <c r="O11" s="2">
        <f t="shared" si="1"/>
        <v>844.66000000000008</v>
      </c>
      <c r="P11" s="16">
        <f>SUM(K11-O11)+H11</f>
        <v>4290.47</v>
      </c>
      <c r="Q11" s="22"/>
      <c r="R11" s="46">
        <v>4290.47</v>
      </c>
      <c r="S11" s="1"/>
    </row>
    <row r="12" spans="1:19" x14ac:dyDescent="0.25">
      <c r="A12" s="38">
        <v>6</v>
      </c>
      <c r="B12" s="47" t="s">
        <v>2</v>
      </c>
      <c r="C12" s="14">
        <f>1735.18+503.2</f>
        <v>2238.38</v>
      </c>
      <c r="D12" s="24"/>
      <c r="E12" s="24"/>
      <c r="F12" s="24">
        <f>4476.77+1492.26</f>
        <v>5969.0300000000007</v>
      </c>
      <c r="G12" s="24">
        <f>2238.39+746.13</f>
        <v>2984.52</v>
      </c>
      <c r="H12" s="24"/>
      <c r="I12" s="27"/>
      <c r="J12" s="27"/>
      <c r="K12" s="12">
        <f t="shared" si="0"/>
        <v>11191.93</v>
      </c>
      <c r="L12" s="3">
        <v>555.30999999999995</v>
      </c>
      <c r="M12" s="3">
        <f>305.29+645.24</f>
        <v>950.53</v>
      </c>
      <c r="N12" s="2">
        <f t="shared" si="3"/>
        <v>9184.0499999999993</v>
      </c>
      <c r="O12" s="2">
        <f t="shared" si="1"/>
        <v>10689.89</v>
      </c>
      <c r="P12" s="16">
        <f t="shared" si="2"/>
        <v>502.04000000000087</v>
      </c>
      <c r="Q12" s="22"/>
      <c r="R12" s="46">
        <v>502.04</v>
      </c>
    </row>
    <row r="13" spans="1:19" x14ac:dyDescent="0.25">
      <c r="A13" s="38">
        <v>7</v>
      </c>
      <c r="B13" s="47" t="s">
        <v>68</v>
      </c>
      <c r="C13" s="14">
        <f>6914.39+331.89</f>
        <v>7246.2800000000007</v>
      </c>
      <c r="D13" s="24">
        <v>1382.88</v>
      </c>
      <c r="E13" s="24"/>
      <c r="F13" s="24"/>
      <c r="G13" s="24"/>
      <c r="H13" s="24"/>
      <c r="I13" s="27"/>
      <c r="J13" s="27"/>
      <c r="K13" s="12">
        <f t="shared" si="0"/>
        <v>8629.16</v>
      </c>
      <c r="L13" s="3">
        <v>1140.44</v>
      </c>
      <c r="M13" s="3">
        <v>988.07</v>
      </c>
      <c r="N13" s="2">
        <f t="shared" si="3"/>
        <v>193.15999999999985</v>
      </c>
      <c r="O13" s="2">
        <f t="shared" si="1"/>
        <v>2321.67</v>
      </c>
      <c r="P13" s="16">
        <f t="shared" si="2"/>
        <v>6307.49</v>
      </c>
      <c r="Q13" s="22"/>
      <c r="R13" s="46">
        <v>6307.49</v>
      </c>
    </row>
    <row r="14" spans="1:19" x14ac:dyDescent="0.25">
      <c r="A14" s="38">
        <v>8</v>
      </c>
      <c r="B14" s="47" t="s">
        <v>3</v>
      </c>
      <c r="C14" s="14">
        <f>14356.98+7537.42</f>
        <v>21894.400000000001</v>
      </c>
      <c r="D14" s="24">
        <f>1435.7+5742.79</f>
        <v>7178.49</v>
      </c>
      <c r="E14" s="24"/>
      <c r="F14" s="24">
        <f>7268.22+2422.74</f>
        <v>9690.9599999999991</v>
      </c>
      <c r="G14" s="24">
        <f>3634.11+1211.37</f>
        <v>4845.4799999999996</v>
      </c>
      <c r="H14" s="24"/>
      <c r="I14" s="27"/>
      <c r="J14" s="27"/>
      <c r="K14" s="12">
        <f t="shared" si="0"/>
        <v>43609.33</v>
      </c>
      <c r="L14" s="3">
        <f>6893.1+7712.95</f>
        <v>14606.05</v>
      </c>
      <c r="M14" s="3">
        <f>702.58+285.49</f>
        <v>988.07</v>
      </c>
      <c r="N14" s="2">
        <f>K14-L14-M14-R14</f>
        <v>7736.6500000000015</v>
      </c>
      <c r="O14" s="2">
        <f t="shared" si="1"/>
        <v>23330.77</v>
      </c>
      <c r="P14" s="16">
        <f t="shared" si="2"/>
        <v>20278.560000000001</v>
      </c>
      <c r="Q14" s="22"/>
      <c r="R14" s="46">
        <v>20278.560000000001</v>
      </c>
    </row>
    <row r="15" spans="1:19" x14ac:dyDescent="0.25">
      <c r="A15" s="38">
        <v>9</v>
      </c>
      <c r="B15" s="47" t="s">
        <v>4</v>
      </c>
      <c r="C15" s="14">
        <f>10169.52+3701.7</f>
        <v>13871.220000000001</v>
      </c>
      <c r="D15" s="24">
        <v>4067.81</v>
      </c>
      <c r="E15" s="24"/>
      <c r="F15" s="42">
        <f>13718.08+4572.69</f>
        <v>18290.77</v>
      </c>
      <c r="G15" s="24"/>
      <c r="H15" s="24"/>
      <c r="I15" s="27"/>
      <c r="J15" s="27"/>
      <c r="K15" s="12">
        <f t="shared" ref="K15:K29" si="8">SUM(C15:I15)</f>
        <v>36229.800000000003</v>
      </c>
      <c r="L15" s="3">
        <f>3857.52+4633.38</f>
        <v>8490.9</v>
      </c>
      <c r="M15" s="3">
        <f>163.33+824.74</f>
        <v>988.07</v>
      </c>
      <c r="N15" s="2">
        <f t="shared" ref="N15:N41" si="9">K15-L15-M15-R15</f>
        <v>12926.450000000003</v>
      </c>
      <c r="O15" s="2">
        <f t="shared" si="1"/>
        <v>22405.420000000002</v>
      </c>
      <c r="P15" s="16">
        <f t="shared" si="2"/>
        <v>13824.380000000001</v>
      </c>
      <c r="Q15" s="22"/>
      <c r="R15" s="46">
        <v>13824.38</v>
      </c>
    </row>
    <row r="16" spans="1:19" x14ac:dyDescent="0.25">
      <c r="A16" s="38">
        <v>10</v>
      </c>
      <c r="B16" s="47" t="s">
        <v>5</v>
      </c>
      <c r="C16" s="14">
        <f>4588.7+750.69</f>
        <v>5339.3899999999994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7006.4</v>
      </c>
      <c r="L16" s="3">
        <v>757.13</v>
      </c>
      <c r="M16" s="3">
        <v>782.39</v>
      </c>
      <c r="N16" s="2">
        <f t="shared" si="9"/>
        <v>72.289999999999054</v>
      </c>
      <c r="O16" s="2">
        <f t="shared" si="1"/>
        <v>1611.809999999999</v>
      </c>
      <c r="P16" s="16">
        <f t="shared" si="2"/>
        <v>5394.59</v>
      </c>
      <c r="Q16" s="22"/>
      <c r="R16" s="46">
        <v>5394.59</v>
      </c>
    </row>
    <row r="17" spans="1:18" x14ac:dyDescent="0.25">
      <c r="A17" s="38">
        <v>11</v>
      </c>
      <c r="B17" s="47" t="s">
        <v>6</v>
      </c>
      <c r="C17" s="14">
        <v>4672.25</v>
      </c>
      <c r="D17" s="24"/>
      <c r="E17" s="24"/>
      <c r="F17" s="24"/>
      <c r="G17" s="24"/>
      <c r="H17" s="24"/>
      <c r="I17" s="27"/>
      <c r="J17" s="27"/>
      <c r="K17" s="12">
        <f t="shared" si="8"/>
        <v>4672.25</v>
      </c>
      <c r="L17" s="3">
        <v>0</v>
      </c>
      <c r="M17" s="3">
        <v>455.61</v>
      </c>
      <c r="N17" s="2">
        <f t="shared" si="9"/>
        <v>449.61000000000013</v>
      </c>
      <c r="O17" s="2">
        <f t="shared" si="1"/>
        <v>905.22000000000014</v>
      </c>
      <c r="P17" s="16">
        <f t="shared" si="2"/>
        <v>3767.0299999999997</v>
      </c>
      <c r="Q17" s="22"/>
      <c r="R17" s="46">
        <v>3767.03</v>
      </c>
    </row>
    <row r="18" spans="1:18" x14ac:dyDescent="0.25">
      <c r="A18" s="38">
        <v>12</v>
      </c>
      <c r="B18" s="47" t="s">
        <v>7</v>
      </c>
      <c r="C18" s="14">
        <f>5568.89+1613.65</f>
        <v>7182.5400000000009</v>
      </c>
      <c r="D18" s="24">
        <v>2923.99</v>
      </c>
      <c r="E18" s="24"/>
      <c r="F18" s="24">
        <f>5053.26+1684.42</f>
        <v>6737.68</v>
      </c>
      <c r="G18" s="24"/>
      <c r="H18" s="24"/>
      <c r="I18" s="27"/>
      <c r="J18" s="27"/>
      <c r="K18" s="12">
        <f t="shared" si="8"/>
        <v>16844.21</v>
      </c>
      <c r="L18" s="3">
        <f>1649.46+580.69</f>
        <v>2230.15</v>
      </c>
      <c r="M18" s="3">
        <f>235.22+752.85</f>
        <v>988.07</v>
      </c>
      <c r="N18" s="2">
        <f t="shared" si="9"/>
        <v>6148.57</v>
      </c>
      <c r="O18" s="2">
        <f t="shared" si="1"/>
        <v>9366.7900000000009</v>
      </c>
      <c r="P18" s="16">
        <f t="shared" si="2"/>
        <v>7477.4199999999983</v>
      </c>
      <c r="Q18" s="22"/>
      <c r="R18" s="46">
        <v>7477.42</v>
      </c>
    </row>
    <row r="19" spans="1:18" x14ac:dyDescent="0.25">
      <c r="A19" s="38">
        <v>13</v>
      </c>
      <c r="B19" s="47" t="s">
        <v>75</v>
      </c>
      <c r="C19" s="14">
        <v>3472.55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3472.55</v>
      </c>
      <c r="L19" s="3">
        <v>0</v>
      </c>
      <c r="M19" s="3">
        <v>305.29000000000002</v>
      </c>
      <c r="N19" s="2">
        <f t="shared" ref="N19" si="11">K19-L19-M19-R19</f>
        <v>9.3500000000003638</v>
      </c>
      <c r="O19" s="2">
        <f t="shared" ref="O19" si="12">SUM(L19:N19)</f>
        <v>314.64000000000038</v>
      </c>
      <c r="P19" s="16">
        <f t="shared" ref="P19" si="13">SUM(K19-O19)</f>
        <v>3157.91</v>
      </c>
      <c r="Q19" s="22"/>
      <c r="R19" s="46">
        <v>3157.91</v>
      </c>
    </row>
    <row r="20" spans="1:18" x14ac:dyDescent="0.25">
      <c r="A20" s="38">
        <v>14</v>
      </c>
      <c r="B20" s="47" t="s">
        <v>8</v>
      </c>
      <c r="C20" s="14">
        <v>4884.72</v>
      </c>
      <c r="D20" s="24"/>
      <c r="E20" s="24"/>
      <c r="F20" s="24"/>
      <c r="G20" s="24"/>
      <c r="H20" s="24"/>
      <c r="I20" s="27"/>
      <c r="J20" s="27"/>
      <c r="K20" s="12">
        <f t="shared" si="8"/>
        <v>4884.72</v>
      </c>
      <c r="L20" s="3">
        <v>0</v>
      </c>
      <c r="M20" s="3">
        <v>485.36</v>
      </c>
      <c r="N20" s="2">
        <f t="shared" si="9"/>
        <v>246.02000000000044</v>
      </c>
      <c r="O20" s="2">
        <f t="shared" si="1"/>
        <v>731.38000000000045</v>
      </c>
      <c r="P20" s="16">
        <f t="shared" si="2"/>
        <v>4153.34</v>
      </c>
      <c r="Q20" s="22"/>
      <c r="R20" s="46">
        <v>4153.34</v>
      </c>
    </row>
    <row r="21" spans="1:18" x14ac:dyDescent="0.25">
      <c r="A21" s="38">
        <v>15</v>
      </c>
      <c r="B21" s="47" t="s">
        <v>78</v>
      </c>
      <c r="C21" s="14">
        <v>4687.16</v>
      </c>
      <c r="D21" s="24"/>
      <c r="E21" s="24"/>
      <c r="F21" s="24"/>
      <c r="G21" s="24"/>
      <c r="H21" s="24"/>
      <c r="I21" s="27"/>
      <c r="J21" s="27"/>
      <c r="K21" s="12">
        <f t="shared" si="8"/>
        <v>4687.16</v>
      </c>
      <c r="L21" s="3">
        <v>0</v>
      </c>
      <c r="M21" s="3">
        <v>457.7</v>
      </c>
      <c r="N21" s="2">
        <f t="shared" ref="N21" si="14">K21-L21-M21-R21</f>
        <v>233.15999999999985</v>
      </c>
      <c r="O21" s="2">
        <f t="shared" ref="O21" si="15">SUM(L21:N21)</f>
        <v>690.8599999999999</v>
      </c>
      <c r="P21" s="16">
        <f t="shared" ref="P21" si="16">SUM(K21-O21)</f>
        <v>3996.3</v>
      </c>
      <c r="Q21" s="22"/>
      <c r="R21" s="46">
        <v>3996.3</v>
      </c>
    </row>
    <row r="22" spans="1:18" x14ac:dyDescent="0.25">
      <c r="A22" s="38">
        <v>16</v>
      </c>
      <c r="B22" s="47" t="s">
        <v>9</v>
      </c>
      <c r="C22" s="14">
        <f>20022.03+13645.01</f>
        <v>33667.040000000001</v>
      </c>
      <c r="D22" s="24">
        <v>27029.74</v>
      </c>
      <c r="E22" s="24"/>
      <c r="F22" s="24"/>
      <c r="G22" s="24"/>
      <c r="H22" s="24"/>
      <c r="I22" s="27"/>
      <c r="J22" s="27"/>
      <c r="K22" s="12">
        <f t="shared" si="8"/>
        <v>60696.78</v>
      </c>
      <c r="L22" s="3">
        <v>11570.25</v>
      </c>
      <c r="M22" s="3">
        <v>988.07</v>
      </c>
      <c r="N22" s="2">
        <f t="shared" si="9"/>
        <v>14581.580000000002</v>
      </c>
      <c r="O22" s="2">
        <f t="shared" si="1"/>
        <v>27139.9</v>
      </c>
      <c r="P22" s="16">
        <f t="shared" si="2"/>
        <v>33556.879999999997</v>
      </c>
      <c r="Q22" s="22"/>
      <c r="R22" s="46">
        <v>33556.879999999997</v>
      </c>
    </row>
    <row r="23" spans="1:18" x14ac:dyDescent="0.25">
      <c r="A23" s="38">
        <v>17</v>
      </c>
      <c r="B23" s="47" t="s">
        <v>10</v>
      </c>
      <c r="C23" s="14">
        <f>9571.32+6675.99+8374.9</f>
        <v>24622.21</v>
      </c>
      <c r="D23" s="24">
        <v>3589.24</v>
      </c>
      <c r="E23" s="24"/>
      <c r="F23" s="24"/>
      <c r="G23" s="24"/>
      <c r="H23" s="24"/>
      <c r="I23" s="27"/>
      <c r="J23" s="27"/>
      <c r="K23" s="12">
        <f t="shared" si="8"/>
        <v>28211.449999999997</v>
      </c>
      <c r="L23" s="3">
        <v>6525.57</v>
      </c>
      <c r="M23" s="3">
        <v>988.07</v>
      </c>
      <c r="N23" s="2">
        <f t="shared" si="9"/>
        <v>1239.7199999999975</v>
      </c>
      <c r="O23" s="2">
        <f t="shared" si="1"/>
        <v>8753.3599999999969</v>
      </c>
      <c r="P23" s="16">
        <f t="shared" si="2"/>
        <v>19458.09</v>
      </c>
      <c r="Q23" s="22"/>
      <c r="R23" s="46">
        <v>19458.09</v>
      </c>
    </row>
    <row r="24" spans="1:18" x14ac:dyDescent="0.25">
      <c r="A24" s="38">
        <v>18</v>
      </c>
      <c r="B24" s="47" t="s">
        <v>11</v>
      </c>
      <c r="C24" s="14">
        <v>11238.38</v>
      </c>
      <c r="D24" s="24"/>
      <c r="E24" s="24"/>
      <c r="F24" s="24"/>
      <c r="G24" s="24"/>
      <c r="H24" s="24"/>
      <c r="I24" s="27"/>
      <c r="J24" s="27"/>
      <c r="K24" s="12">
        <f t="shared" si="8"/>
        <v>11238.38</v>
      </c>
      <c r="L24" s="3">
        <v>1857.97</v>
      </c>
      <c r="M24" s="3">
        <v>988.07</v>
      </c>
      <c r="N24" s="2">
        <f t="shared" si="9"/>
        <v>859.5</v>
      </c>
      <c r="O24" s="2">
        <f t="shared" si="1"/>
        <v>3705.54</v>
      </c>
      <c r="P24" s="16">
        <f t="shared" si="2"/>
        <v>7532.8399999999992</v>
      </c>
      <c r="Q24" s="22"/>
      <c r="R24" s="46">
        <v>7532.84</v>
      </c>
    </row>
    <row r="25" spans="1:18" x14ac:dyDescent="0.25">
      <c r="A25" s="38">
        <v>19</v>
      </c>
      <c r="B25" s="47" t="s">
        <v>71</v>
      </c>
      <c r="C25" s="14">
        <f>17768.53+6609.89</f>
        <v>24378.42</v>
      </c>
      <c r="D25" s="24">
        <v>3553.71</v>
      </c>
      <c r="E25" s="24"/>
      <c r="F25" s="24"/>
      <c r="G25" s="24"/>
      <c r="H25" s="24"/>
      <c r="I25" s="27"/>
      <c r="J25" s="27"/>
      <c r="K25" s="12">
        <f t="shared" si="8"/>
        <v>27932.129999999997</v>
      </c>
      <c r="L25" s="3">
        <v>6448.75</v>
      </c>
      <c r="M25" s="3">
        <v>988.07</v>
      </c>
      <c r="N25" s="2">
        <f t="shared" si="9"/>
        <v>3427.0499999999993</v>
      </c>
      <c r="O25" s="2">
        <f t="shared" si="1"/>
        <v>10863.869999999999</v>
      </c>
      <c r="P25" s="16">
        <f t="shared" si="2"/>
        <v>17068.259999999998</v>
      </c>
      <c r="Q25" s="22"/>
      <c r="R25" s="46">
        <v>17068.259999999998</v>
      </c>
    </row>
    <row r="26" spans="1:18" x14ac:dyDescent="0.25">
      <c r="A26" s="38">
        <v>20</v>
      </c>
      <c r="B26" s="47" t="s">
        <v>12</v>
      </c>
      <c r="C26" s="14">
        <v>11946.31</v>
      </c>
      <c r="D26" s="24"/>
      <c r="E26" s="24"/>
      <c r="F26" s="24"/>
      <c r="G26" s="24"/>
      <c r="H26" s="24"/>
      <c r="I26" s="27"/>
      <c r="J26" s="27"/>
      <c r="K26" s="12">
        <f t="shared" si="8"/>
        <v>11946.31</v>
      </c>
      <c r="L26" s="3">
        <v>2052.65</v>
      </c>
      <c r="M26" s="3">
        <v>988.07</v>
      </c>
      <c r="N26" s="2">
        <f t="shared" si="9"/>
        <v>454.82999999999993</v>
      </c>
      <c r="O26" s="2">
        <f t="shared" si="1"/>
        <v>3495.55</v>
      </c>
      <c r="P26" s="16">
        <f>SUM(K26-O26)+H26</f>
        <v>8450.7599999999984</v>
      </c>
      <c r="Q26" s="22"/>
      <c r="R26" s="46">
        <v>8450.76</v>
      </c>
    </row>
    <row r="27" spans="1:18" x14ac:dyDescent="0.25">
      <c r="A27" s="38">
        <v>21</v>
      </c>
      <c r="B27" s="47" t="s">
        <v>13</v>
      </c>
      <c r="C27" s="14">
        <f>6169.54+678.65</f>
        <v>6848.19</v>
      </c>
      <c r="D27" s="24"/>
      <c r="E27" s="24"/>
      <c r="F27" s="24">
        <f>5236.85+1745.62</f>
        <v>6982.47</v>
      </c>
      <c r="G27" s="24"/>
      <c r="H27" s="24"/>
      <c r="I27" s="27"/>
      <c r="J27" s="27"/>
      <c r="K27" s="12">
        <f t="shared" si="8"/>
        <v>13830.66</v>
      </c>
      <c r="L27" s="3">
        <f>740.72+794.99</f>
        <v>1535.71</v>
      </c>
      <c r="M27" s="3">
        <f>200.95+787.12</f>
        <v>988.06999999999994</v>
      </c>
      <c r="N27" s="2">
        <f t="shared" si="9"/>
        <v>5409.7100000000009</v>
      </c>
      <c r="O27" s="2">
        <f t="shared" si="1"/>
        <v>7933.4900000000007</v>
      </c>
      <c r="P27" s="16">
        <f t="shared" si="2"/>
        <v>5897.1699999999992</v>
      </c>
      <c r="Q27" s="22"/>
      <c r="R27" s="46">
        <v>5897.17</v>
      </c>
    </row>
    <row r="28" spans="1:18" x14ac:dyDescent="0.25">
      <c r="A28" s="38">
        <v>22</v>
      </c>
      <c r="B28" s="47" t="s">
        <v>86</v>
      </c>
      <c r="C28" s="14">
        <f>2981.46+745.36</f>
        <v>3726.82</v>
      </c>
      <c r="D28" s="24"/>
      <c r="E28" s="24"/>
      <c r="F28" s="24">
        <f>4969.09+1656.36</f>
        <v>6625.45</v>
      </c>
      <c r="G28" s="24"/>
      <c r="H28" s="27"/>
      <c r="I28" s="27"/>
      <c r="J28" s="27"/>
      <c r="K28" s="12">
        <f t="shared" si="8"/>
        <v>10352.27</v>
      </c>
      <c r="L28" s="3">
        <v>606.28</v>
      </c>
      <c r="M28" s="3">
        <f>250.93+737.14</f>
        <v>988.06999999999994</v>
      </c>
      <c r="N28" s="2">
        <f t="shared" si="9"/>
        <v>7721.55</v>
      </c>
      <c r="O28" s="2">
        <f t="shared" si="1"/>
        <v>9315.9</v>
      </c>
      <c r="P28" s="16">
        <f t="shared" si="2"/>
        <v>1036.3700000000008</v>
      </c>
      <c r="Q28" s="22"/>
      <c r="R28" s="46">
        <v>1036.3699999999999</v>
      </c>
    </row>
    <row r="29" spans="1:18" x14ac:dyDescent="0.25">
      <c r="A29" s="38">
        <v>23</v>
      </c>
      <c r="B29" s="47" t="s">
        <v>14</v>
      </c>
      <c r="C29" s="14">
        <v>10553.99</v>
      </c>
      <c r="D29" s="24"/>
      <c r="E29" s="24"/>
      <c r="F29" s="24"/>
      <c r="G29" s="24"/>
      <c r="H29" s="24"/>
      <c r="I29" s="27"/>
      <c r="J29" s="27"/>
      <c r="K29" s="12">
        <f t="shared" si="8"/>
        <v>10553.99</v>
      </c>
      <c r="L29" s="3">
        <v>1721.9</v>
      </c>
      <c r="M29" s="3">
        <v>988.07</v>
      </c>
      <c r="N29" s="2">
        <f t="shared" si="9"/>
        <v>295.80000000000018</v>
      </c>
      <c r="O29" s="2">
        <f t="shared" si="1"/>
        <v>3005.7700000000004</v>
      </c>
      <c r="P29" s="16">
        <f t="shared" si="2"/>
        <v>7548.2199999999993</v>
      </c>
      <c r="Q29" s="22"/>
      <c r="R29" s="46">
        <v>7548.22</v>
      </c>
    </row>
    <row r="30" spans="1:18" x14ac:dyDescent="0.25">
      <c r="A30" s="38">
        <v>24</v>
      </c>
      <c r="B30" s="47" t="s">
        <v>55</v>
      </c>
      <c r="C30" s="14">
        <f>2734.43+191.41</f>
        <v>2925.8399999999997</v>
      </c>
      <c r="D30" s="24"/>
      <c r="E30" s="24"/>
      <c r="F30" s="24">
        <f>5053.73+1684.58</f>
        <v>6738.3099999999995</v>
      </c>
      <c r="G30" s="24"/>
      <c r="H30" s="24"/>
      <c r="I30" s="27"/>
      <c r="J30" s="27"/>
      <c r="K30" s="12">
        <f>SUM(C30:I30)</f>
        <v>9664.15</v>
      </c>
      <c r="L30" s="3">
        <v>737.25</v>
      </c>
      <c r="M30" s="3">
        <f>235.13+752.94</f>
        <v>988.07</v>
      </c>
      <c r="N30" s="2">
        <f t="shared" ref="N30" si="17">K30-L30-M30-R30</f>
        <v>5300.9699999999993</v>
      </c>
      <c r="O30" s="2">
        <f t="shared" ref="O30" si="18">SUM(L30:N30)</f>
        <v>7026.2899999999991</v>
      </c>
      <c r="P30" s="16">
        <f>SUM(K30-O30)+H30</f>
        <v>2637.8600000000006</v>
      </c>
      <c r="Q30" s="22"/>
      <c r="R30" s="46">
        <v>2637.86</v>
      </c>
    </row>
    <row r="31" spans="1:18" x14ac:dyDescent="0.25">
      <c r="A31" s="38">
        <v>25</v>
      </c>
      <c r="B31" s="47" t="s">
        <v>15</v>
      </c>
      <c r="C31" s="14">
        <f>1765.64+441.41</f>
        <v>2207.0500000000002</v>
      </c>
      <c r="D31" s="24"/>
      <c r="E31" s="24"/>
      <c r="F31" s="24">
        <f>2207.05+735.68</f>
        <v>2942.73</v>
      </c>
      <c r="G31" s="24"/>
      <c r="H31" s="24"/>
      <c r="I31" s="27"/>
      <c r="J31" s="27"/>
      <c r="K31" s="12">
        <f>SUM(C31:I31)</f>
        <v>5149.7800000000007</v>
      </c>
      <c r="L31" s="3">
        <v>0</v>
      </c>
      <c r="M31" s="3">
        <f>275.94+246.53</f>
        <v>522.47</v>
      </c>
      <c r="N31" s="2">
        <f t="shared" si="9"/>
        <v>3887.4100000000003</v>
      </c>
      <c r="O31" s="2">
        <f t="shared" si="1"/>
        <v>4409.88</v>
      </c>
      <c r="P31" s="16">
        <f>SUM(K31-O31)+H31</f>
        <v>739.90000000000055</v>
      </c>
      <c r="Q31" s="22"/>
      <c r="R31" s="46">
        <v>739.9</v>
      </c>
    </row>
    <row r="32" spans="1:18" x14ac:dyDescent="0.25">
      <c r="A32" s="38">
        <v>26</v>
      </c>
      <c r="B32" s="47" t="s">
        <v>79</v>
      </c>
      <c r="C32" s="14">
        <f>3905.97+39.06</f>
        <v>3945.0299999999997</v>
      </c>
      <c r="D32" s="24"/>
      <c r="E32" s="24"/>
      <c r="F32" s="24">
        <f>789.01+263</f>
        <v>1052.01</v>
      </c>
      <c r="G32" s="24">
        <f>1578.01+526</f>
        <v>2104.0100000000002</v>
      </c>
      <c r="H32" s="24"/>
      <c r="I32" s="27"/>
      <c r="J32" s="27"/>
      <c r="K32" s="12">
        <f>SUM(C32:I32)</f>
        <v>7101.05</v>
      </c>
      <c r="L32" s="3">
        <v>0</v>
      </c>
      <c r="M32" s="3">
        <f>422.18+78.9</f>
        <v>501.08000000000004</v>
      </c>
      <c r="N32" s="2">
        <f t="shared" ref="N32:N33" si="19">K32-L32-M32-R32</f>
        <v>3126.4700000000003</v>
      </c>
      <c r="O32" s="2">
        <f t="shared" ref="O32:O33" si="20">SUM(L32:N32)</f>
        <v>3627.55</v>
      </c>
      <c r="P32" s="16">
        <f>SUM(K32-O32)+H32</f>
        <v>3473.5</v>
      </c>
      <c r="Q32" s="22"/>
      <c r="R32" s="46">
        <v>3473.5</v>
      </c>
    </row>
    <row r="33" spans="1:18" x14ac:dyDescent="0.25">
      <c r="A33" s="38">
        <v>27</v>
      </c>
      <c r="B33" s="47" t="s">
        <v>80</v>
      </c>
      <c r="C33" s="14">
        <f>2603.73+26.04</f>
        <v>2629.77</v>
      </c>
      <c r="D33" s="24"/>
      <c r="E33" s="24"/>
      <c r="F33" s="24">
        <f>2011+670.33</f>
        <v>2681.33</v>
      </c>
      <c r="G33" s="24"/>
      <c r="H33" s="24"/>
      <c r="I33" s="27"/>
      <c r="J33" s="27"/>
      <c r="K33" s="12">
        <f>SUM(C33:I33)</f>
        <v>5311.1</v>
      </c>
      <c r="L33" s="3">
        <v>0</v>
      </c>
      <c r="M33" s="3">
        <f>315.68+229.37</f>
        <v>545.04999999999995</v>
      </c>
      <c r="N33" s="2">
        <f t="shared" si="19"/>
        <v>2501.3100000000004</v>
      </c>
      <c r="O33" s="2">
        <f t="shared" si="20"/>
        <v>3046.3600000000006</v>
      </c>
      <c r="P33" s="16">
        <f>SUM(K33-O33)+H33</f>
        <v>2264.7399999999998</v>
      </c>
      <c r="Q33" s="22"/>
      <c r="R33" s="46">
        <v>2264.7399999999998</v>
      </c>
    </row>
    <row r="34" spans="1:18" x14ac:dyDescent="0.25">
      <c r="A34" s="38">
        <v>28</v>
      </c>
      <c r="B34" s="47" t="s">
        <v>16</v>
      </c>
      <c r="C34" s="14">
        <f>8606.45+1755.72</f>
        <v>10362.17</v>
      </c>
      <c r="D34" s="24">
        <v>1721.29</v>
      </c>
      <c r="E34" s="24"/>
      <c r="F34" s="24"/>
      <c r="G34" s="24"/>
      <c r="H34" s="24"/>
      <c r="I34" s="27"/>
      <c r="J34" s="27"/>
      <c r="K34" s="12">
        <f>SUM(C34:I34)</f>
        <v>12083.46</v>
      </c>
      <c r="L34" s="3">
        <v>2142.5100000000002</v>
      </c>
      <c r="M34" s="3">
        <v>988.07</v>
      </c>
      <c r="N34" s="2">
        <f t="shared" si="9"/>
        <v>81.149999999999636</v>
      </c>
      <c r="O34" s="2">
        <f t="shared" si="1"/>
        <v>3211.73</v>
      </c>
      <c r="P34" s="16">
        <f t="shared" si="2"/>
        <v>8871.73</v>
      </c>
      <c r="Q34" s="22"/>
      <c r="R34" s="46">
        <v>8871.73</v>
      </c>
    </row>
    <row r="35" spans="1:18" x14ac:dyDescent="0.25">
      <c r="A35" s="38">
        <v>29</v>
      </c>
      <c r="B35" s="47" t="s">
        <v>17</v>
      </c>
      <c r="C35" s="14">
        <f>18490.01+6434.52</f>
        <v>24924.53</v>
      </c>
      <c r="D35" s="24">
        <v>3698</v>
      </c>
      <c r="E35" s="24"/>
      <c r="F35" s="24"/>
      <c r="G35" s="24"/>
      <c r="H35" s="24"/>
      <c r="I35" s="27"/>
      <c r="J35" s="27"/>
      <c r="K35" s="12">
        <f t="shared" ref="K35:K41" si="21">SUM(C35:I35)</f>
        <v>28622.53</v>
      </c>
      <c r="L35" s="3">
        <v>6690.75</v>
      </c>
      <c r="M35" s="3">
        <v>988.07</v>
      </c>
      <c r="N35" s="2">
        <f t="shared" si="9"/>
        <v>246.02000000000044</v>
      </c>
      <c r="O35" s="2">
        <f t="shared" si="1"/>
        <v>7924.84</v>
      </c>
      <c r="P35" s="16">
        <f t="shared" si="2"/>
        <v>20697.689999999999</v>
      </c>
      <c r="Q35" s="22"/>
      <c r="R35" s="46">
        <v>20697.689999999999</v>
      </c>
    </row>
    <row r="36" spans="1:18" x14ac:dyDescent="0.25">
      <c r="A36" s="38">
        <v>30</v>
      </c>
      <c r="B36" s="47" t="s">
        <v>56</v>
      </c>
      <c r="C36" s="14">
        <f>7947.91+1526</f>
        <v>9473.91</v>
      </c>
      <c r="D36" s="24">
        <f>1589.58</f>
        <v>1589.58</v>
      </c>
      <c r="E36" s="24"/>
      <c r="F36" s="24"/>
      <c r="G36" s="24"/>
      <c r="H36" s="24"/>
      <c r="I36" s="27"/>
      <c r="J36" s="27"/>
      <c r="K36" s="12">
        <f t="shared" si="21"/>
        <v>11063.49</v>
      </c>
      <c r="L36" s="3">
        <v>1862</v>
      </c>
      <c r="M36" s="3">
        <v>988.07</v>
      </c>
      <c r="N36" s="2">
        <f t="shared" si="9"/>
        <v>2362.8100000000004</v>
      </c>
      <c r="O36" s="2">
        <f t="shared" si="1"/>
        <v>5212.880000000001</v>
      </c>
      <c r="P36" s="16">
        <f t="shared" si="2"/>
        <v>5850.6099999999988</v>
      </c>
      <c r="Q36" s="22"/>
      <c r="R36" s="46">
        <v>5850.61</v>
      </c>
    </row>
    <row r="37" spans="1:18" x14ac:dyDescent="0.25">
      <c r="A37" s="38">
        <v>31</v>
      </c>
      <c r="B37" s="47" t="s">
        <v>18</v>
      </c>
      <c r="C37" s="14">
        <f>7714.16+1241.37</f>
        <v>8955.5299999999988</v>
      </c>
      <c r="D37" s="24">
        <f>1542.83+1087.77</f>
        <v>2630.6</v>
      </c>
      <c r="E37" s="24"/>
      <c r="F37" s="24"/>
      <c r="G37" s="24"/>
      <c r="H37" s="24"/>
      <c r="I37" s="27"/>
      <c r="J37" s="27"/>
      <c r="K37" s="12">
        <f t="shared" si="21"/>
        <v>11586.13</v>
      </c>
      <c r="L37" s="3">
        <v>1901.47</v>
      </c>
      <c r="M37" s="3">
        <v>988.07</v>
      </c>
      <c r="N37" s="2">
        <f t="shared" si="9"/>
        <v>3005.79</v>
      </c>
      <c r="O37" s="2">
        <f t="shared" si="1"/>
        <v>5895.33</v>
      </c>
      <c r="P37" s="16">
        <f>SUM(K37-O37)+H37</f>
        <v>5690.7999999999993</v>
      </c>
      <c r="Q37" s="22"/>
      <c r="R37" s="46">
        <v>5690.8</v>
      </c>
    </row>
    <row r="38" spans="1:18" x14ac:dyDescent="0.25">
      <c r="A38" s="38">
        <v>32</v>
      </c>
      <c r="B38" s="47" t="s">
        <v>83</v>
      </c>
      <c r="C38" s="14">
        <v>6197.53</v>
      </c>
      <c r="D38" s="24">
        <v>1239.51</v>
      </c>
      <c r="E38" s="24"/>
      <c r="F38" s="24"/>
      <c r="G38" s="24"/>
      <c r="H38" s="24"/>
      <c r="I38" s="27"/>
      <c r="J38" s="27"/>
      <c r="K38" s="12">
        <f t="shared" si="21"/>
        <v>7437.04</v>
      </c>
      <c r="L38" s="3">
        <v>800.45</v>
      </c>
      <c r="M38" s="3">
        <v>842.68</v>
      </c>
      <c r="N38" s="2">
        <f t="shared" si="9"/>
        <v>440.6899999999996</v>
      </c>
      <c r="O38" s="2">
        <f t="shared" si="1"/>
        <v>2083.8199999999997</v>
      </c>
      <c r="P38" s="16">
        <f>SUM(K38-O38)+H38</f>
        <v>5353.22</v>
      </c>
      <c r="Q38" s="22"/>
      <c r="R38" s="46">
        <v>5353.22</v>
      </c>
    </row>
    <row r="39" spans="1:18" x14ac:dyDescent="0.25">
      <c r="A39" s="38">
        <v>33</v>
      </c>
      <c r="B39" s="47" t="s">
        <v>53</v>
      </c>
      <c r="C39" s="14">
        <v>4021.28</v>
      </c>
      <c r="D39" s="24"/>
      <c r="E39" s="24"/>
      <c r="F39" s="24"/>
      <c r="G39" s="24"/>
      <c r="H39" s="24"/>
      <c r="I39" s="27"/>
      <c r="J39" s="27"/>
      <c r="K39" s="12">
        <f t="shared" si="21"/>
        <v>4021.28</v>
      </c>
      <c r="L39" s="3">
        <v>0</v>
      </c>
      <c r="M39" s="3">
        <v>371.14</v>
      </c>
      <c r="N39" s="2">
        <f t="shared" ref="N39" si="22">K39-L39-M39-R39</f>
        <v>67.970000000000255</v>
      </c>
      <c r="O39" s="2">
        <f t="shared" ref="O39" si="23">SUM(L39:N39)</f>
        <v>439.11000000000024</v>
      </c>
      <c r="P39" s="16">
        <f t="shared" ref="P39" si="24">SUM(K39-O39)</f>
        <v>3582.17</v>
      </c>
      <c r="Q39" s="22"/>
      <c r="R39" s="46">
        <v>3582.17</v>
      </c>
    </row>
    <row r="40" spans="1:18" x14ac:dyDescent="0.25">
      <c r="A40" s="38">
        <v>34</v>
      </c>
      <c r="B40" s="47" t="s">
        <v>19</v>
      </c>
      <c r="C40" s="14">
        <f>5018.59+890</f>
        <v>5908.59</v>
      </c>
      <c r="D40" s="24">
        <v>543.88</v>
      </c>
      <c r="E40" s="24"/>
      <c r="F40" s="24"/>
      <c r="G40" s="24"/>
      <c r="H40" s="24"/>
      <c r="I40" s="27"/>
      <c r="J40" s="27"/>
      <c r="K40" s="12">
        <f t="shared" si="21"/>
        <v>6452.47</v>
      </c>
      <c r="L40" s="3">
        <v>552.38</v>
      </c>
      <c r="M40" s="3">
        <v>704.84</v>
      </c>
      <c r="N40" s="2">
        <f t="shared" si="9"/>
        <v>893.5</v>
      </c>
      <c r="O40" s="2">
        <f t="shared" si="1"/>
        <v>2150.7200000000003</v>
      </c>
      <c r="P40" s="16">
        <f t="shared" si="2"/>
        <v>4301.75</v>
      </c>
      <c r="Q40" s="22"/>
      <c r="R40" s="46">
        <v>4301.75</v>
      </c>
    </row>
    <row r="41" spans="1:18" x14ac:dyDescent="0.25">
      <c r="A41" s="38">
        <v>35</v>
      </c>
      <c r="B41" s="47" t="s">
        <v>20</v>
      </c>
      <c r="C41" s="14">
        <f>10688.27+3847.78</f>
        <v>14536.050000000001</v>
      </c>
      <c r="D41" s="24">
        <v>2137.65</v>
      </c>
      <c r="E41" s="24"/>
      <c r="F41" s="24">
        <f>12750.48+4250.16</f>
        <v>17000.64</v>
      </c>
      <c r="G41" s="24"/>
      <c r="H41" s="24"/>
      <c r="I41" s="27"/>
      <c r="J41" s="27"/>
      <c r="K41" s="12">
        <f t="shared" si="21"/>
        <v>33674.339999999997</v>
      </c>
      <c r="L41" s="3">
        <f>3509.57+4119.73</f>
        <v>7629.2999999999993</v>
      </c>
      <c r="M41" s="3">
        <f>163.33+824.74</f>
        <v>988.07</v>
      </c>
      <c r="N41" s="2">
        <f t="shared" si="9"/>
        <v>12158.519999999997</v>
      </c>
      <c r="O41" s="2">
        <f t="shared" si="1"/>
        <v>20775.889999999996</v>
      </c>
      <c r="P41" s="16">
        <f t="shared" si="2"/>
        <v>12898.45</v>
      </c>
      <c r="Q41" s="22"/>
      <c r="R41" s="46">
        <v>12898.45</v>
      </c>
    </row>
    <row r="42" spans="1:18" x14ac:dyDescent="0.25">
      <c r="A42" s="38">
        <v>36</v>
      </c>
      <c r="B42" s="48" t="s">
        <v>21</v>
      </c>
      <c r="C42" s="29">
        <v>4358.8900000000003</v>
      </c>
      <c r="D42" s="25"/>
      <c r="E42" s="25"/>
      <c r="F42" s="25"/>
      <c r="G42" s="24"/>
      <c r="H42" s="24"/>
      <c r="I42" s="27"/>
      <c r="J42" s="27"/>
      <c r="K42" s="30">
        <f t="shared" ref="K42:K51" si="25">SUM(C42:I42)</f>
        <v>4358.8900000000003</v>
      </c>
      <c r="L42" s="31">
        <v>0</v>
      </c>
      <c r="M42" s="31">
        <v>411.74</v>
      </c>
      <c r="N42" s="32">
        <f t="shared" ref="N42:N63" si="26">K42-L42-M42-R42</f>
        <v>234.8100000000004</v>
      </c>
      <c r="O42" s="32">
        <f t="shared" si="1"/>
        <v>646.55000000000041</v>
      </c>
      <c r="P42" s="33">
        <f t="shared" si="2"/>
        <v>3712.34</v>
      </c>
      <c r="Q42" s="22"/>
      <c r="R42" s="46">
        <v>3712.34</v>
      </c>
    </row>
    <row r="43" spans="1:18" x14ac:dyDescent="0.25">
      <c r="A43" s="38">
        <v>37</v>
      </c>
      <c r="B43" s="48" t="s">
        <v>73</v>
      </c>
      <c r="C43" s="29">
        <v>4975.03</v>
      </c>
      <c r="D43" s="25"/>
      <c r="E43" s="25"/>
      <c r="F43" s="25"/>
      <c r="G43" s="24"/>
      <c r="H43" s="24"/>
      <c r="I43" s="27"/>
      <c r="J43" s="27"/>
      <c r="K43" s="30">
        <f t="shared" ref="K43" si="27">SUM(C43:I43)</f>
        <v>4975.03</v>
      </c>
      <c r="L43" s="31">
        <v>0</v>
      </c>
      <c r="M43" s="31">
        <v>498</v>
      </c>
      <c r="N43" s="32">
        <f t="shared" ref="N43" si="28">K43-L43-M43-R43</f>
        <v>233.15999999999985</v>
      </c>
      <c r="O43" s="32">
        <f t="shared" ref="O43" si="29">SUM(L43:N43)</f>
        <v>731.15999999999985</v>
      </c>
      <c r="P43" s="33">
        <f t="shared" ref="P43" si="30">SUM(K43-O43)</f>
        <v>4243.87</v>
      </c>
      <c r="Q43" s="22"/>
      <c r="R43" s="46">
        <v>4243.87</v>
      </c>
    </row>
    <row r="44" spans="1:18" x14ac:dyDescent="0.25">
      <c r="A44" s="38">
        <v>38</v>
      </c>
      <c r="B44" s="47" t="s">
        <v>22</v>
      </c>
      <c r="C44" s="14">
        <f>6063.01+1859.2</f>
        <v>7922.21</v>
      </c>
      <c r="D44" s="24">
        <v>1087.77</v>
      </c>
      <c r="E44" s="24"/>
      <c r="F44" s="24"/>
      <c r="G44" s="24"/>
      <c r="H44" s="24"/>
      <c r="I44" s="27"/>
      <c r="J44" s="27"/>
      <c r="K44" s="12">
        <f t="shared" si="25"/>
        <v>9009.98</v>
      </c>
      <c r="L44" s="3">
        <v>1297.3</v>
      </c>
      <c r="M44" s="3">
        <v>988.07</v>
      </c>
      <c r="N44" s="2">
        <f t="shared" si="26"/>
        <v>878.60999999999967</v>
      </c>
      <c r="O44" s="2">
        <f t="shared" si="1"/>
        <v>3163.9799999999996</v>
      </c>
      <c r="P44" s="16">
        <f t="shared" si="2"/>
        <v>5846</v>
      </c>
      <c r="Q44" s="22"/>
      <c r="R44" s="46">
        <v>5846</v>
      </c>
    </row>
    <row r="45" spans="1:18" x14ac:dyDescent="0.25">
      <c r="A45" s="38">
        <v>39</v>
      </c>
      <c r="B45" s="47" t="s">
        <v>23</v>
      </c>
      <c r="C45" s="14">
        <f>10638.63+2021.34</f>
        <v>12659.97</v>
      </c>
      <c r="D45" s="24"/>
      <c r="E45" s="24"/>
      <c r="F45" s="24">
        <f>2531.99+844</f>
        <v>3375.99</v>
      </c>
      <c r="G45" s="24"/>
      <c r="H45" s="24"/>
      <c r="I45" s="27">
        <v>4791.09</v>
      </c>
      <c r="J45" s="27"/>
      <c r="K45" s="12">
        <f t="shared" si="25"/>
        <v>20827.05</v>
      </c>
      <c r="L45" s="3">
        <v>3648.55</v>
      </c>
      <c r="M45" s="3">
        <f>689.55+298.52</f>
        <v>988.06999999999994</v>
      </c>
      <c r="N45" s="2">
        <f t="shared" si="26"/>
        <v>3988.8500000000004</v>
      </c>
      <c r="O45" s="2">
        <f t="shared" si="1"/>
        <v>8625.4700000000012</v>
      </c>
      <c r="P45" s="16">
        <f t="shared" si="2"/>
        <v>12201.579999999998</v>
      </c>
      <c r="Q45" s="22"/>
      <c r="R45" s="46">
        <v>12201.58</v>
      </c>
    </row>
    <row r="46" spans="1:18" x14ac:dyDescent="0.25">
      <c r="A46" s="38">
        <v>40</v>
      </c>
      <c r="B46" s="47" t="s">
        <v>24</v>
      </c>
      <c r="C46" s="14">
        <f>8735.21+4740.15</f>
        <v>13475.359999999999</v>
      </c>
      <c r="D46" s="24">
        <f>7610.13</f>
        <v>7610.13</v>
      </c>
      <c r="E46" s="24"/>
      <c r="F46" s="24"/>
      <c r="G46" s="24"/>
      <c r="H46" s="24"/>
      <c r="I46" s="27"/>
      <c r="J46" s="27"/>
      <c r="K46" s="12">
        <f t="shared" si="25"/>
        <v>21085.489999999998</v>
      </c>
      <c r="L46" s="3">
        <v>4618.0600000000004</v>
      </c>
      <c r="M46" s="3">
        <v>988.07</v>
      </c>
      <c r="N46" s="2">
        <f>K46-L46-M46-R46</f>
        <v>1064.8199999999961</v>
      </c>
      <c r="O46" s="2">
        <f>SUM(L46:N46)</f>
        <v>6670.9499999999962</v>
      </c>
      <c r="P46" s="16">
        <f t="shared" si="2"/>
        <v>14414.54</v>
      </c>
      <c r="Q46" s="22"/>
      <c r="R46" s="46">
        <v>14414.54</v>
      </c>
    </row>
    <row r="47" spans="1:18" x14ac:dyDescent="0.25">
      <c r="A47" s="38">
        <v>41</v>
      </c>
      <c r="B47" s="47" t="s">
        <v>25</v>
      </c>
      <c r="C47" s="14">
        <f>3062.89+698.34</f>
        <v>3761.23</v>
      </c>
      <c r="D47" s="24">
        <v>612.58000000000004</v>
      </c>
      <c r="E47" s="24"/>
      <c r="F47" s="24">
        <f>7554.75+2518.25</f>
        <v>10073</v>
      </c>
      <c r="G47" s="24"/>
      <c r="H47" s="24"/>
      <c r="I47" s="27"/>
      <c r="J47" s="27"/>
      <c r="K47" s="12">
        <f t="shared" si="25"/>
        <v>14446.810000000001</v>
      </c>
      <c r="L47" s="3">
        <v>1495.38</v>
      </c>
      <c r="M47" s="3">
        <f>36.45+951.62</f>
        <v>988.07</v>
      </c>
      <c r="N47" s="2">
        <f t="shared" si="26"/>
        <v>8381.73</v>
      </c>
      <c r="O47" s="2">
        <f t="shared" si="1"/>
        <v>10865.18</v>
      </c>
      <c r="P47" s="16">
        <f t="shared" si="2"/>
        <v>3581.630000000001</v>
      </c>
      <c r="Q47" s="22"/>
      <c r="R47" s="46">
        <v>3581.63</v>
      </c>
    </row>
    <row r="48" spans="1:18" x14ac:dyDescent="0.25">
      <c r="A48" s="38">
        <v>42</v>
      </c>
      <c r="B48" s="47" t="s">
        <v>77</v>
      </c>
      <c r="C48" s="14">
        <f>1736.45+34.73</f>
        <v>1771.18</v>
      </c>
      <c r="D48" s="24"/>
      <c r="E48" s="24"/>
      <c r="F48" s="24">
        <f>1771.18+590.39</f>
        <v>2361.5700000000002</v>
      </c>
      <c r="G48" s="24"/>
      <c r="H48" s="24"/>
      <c r="I48" s="27"/>
      <c r="J48" s="27"/>
      <c r="K48" s="12">
        <f t="shared" si="25"/>
        <v>4132.75</v>
      </c>
      <c r="L48" s="3">
        <v>0</v>
      </c>
      <c r="M48" s="3">
        <f>194.74+189.77</f>
        <v>384.51</v>
      </c>
      <c r="N48" s="2">
        <f t="shared" ref="N48" si="31">K48-L48-M48-R48</f>
        <v>2238.5099999999998</v>
      </c>
      <c r="O48" s="2">
        <f t="shared" ref="O48" si="32">SUM(L48:N48)</f>
        <v>2623.0199999999995</v>
      </c>
      <c r="P48" s="16">
        <f t="shared" ref="P48" si="33">SUM(K48-O48)</f>
        <v>1509.7300000000005</v>
      </c>
      <c r="Q48" s="22"/>
      <c r="R48" s="46">
        <v>1509.73</v>
      </c>
    </row>
    <row r="49" spans="1:18" x14ac:dyDescent="0.25">
      <c r="A49" s="38">
        <v>43</v>
      </c>
      <c r="B49" s="47" t="s">
        <v>26</v>
      </c>
      <c r="C49" s="14">
        <f>8930.35+3536.42</f>
        <v>12466.77</v>
      </c>
      <c r="D49" s="24">
        <v>1786.07</v>
      </c>
      <c r="E49" s="24"/>
      <c r="F49" s="24"/>
      <c r="G49" s="24"/>
      <c r="H49" s="24"/>
      <c r="I49" s="27"/>
      <c r="J49" s="27"/>
      <c r="K49" s="12">
        <f t="shared" si="25"/>
        <v>14252.84</v>
      </c>
      <c r="L49" s="3">
        <v>2686.95</v>
      </c>
      <c r="M49" s="3">
        <v>988.07</v>
      </c>
      <c r="N49" s="2">
        <f t="shared" si="26"/>
        <v>2330.619999999999</v>
      </c>
      <c r="O49" s="2">
        <f t="shared" si="1"/>
        <v>6005.6399999999994</v>
      </c>
      <c r="P49" s="16">
        <f>SUM(K49-O49)+H49</f>
        <v>8247.2000000000007</v>
      </c>
      <c r="Q49" s="22"/>
      <c r="R49" s="46">
        <v>8247.2000000000007</v>
      </c>
    </row>
    <row r="50" spans="1:18" x14ac:dyDescent="0.25">
      <c r="A50" s="38">
        <v>44</v>
      </c>
      <c r="B50" s="47" t="s">
        <v>27</v>
      </c>
      <c r="C50" s="14">
        <f>8188.74+1572.24</f>
        <v>9760.98</v>
      </c>
      <c r="D50" s="24">
        <v>1637.75</v>
      </c>
      <c r="E50" s="24"/>
      <c r="F50" s="24"/>
      <c r="G50" s="24"/>
      <c r="H50" s="24"/>
      <c r="I50" s="27"/>
      <c r="J50" s="27"/>
      <c r="K50" s="12">
        <f t="shared" si="25"/>
        <v>11398.73</v>
      </c>
      <c r="L50" s="3">
        <v>1954.21</v>
      </c>
      <c r="M50" s="3">
        <v>988.07</v>
      </c>
      <c r="N50" s="2">
        <f t="shared" si="26"/>
        <v>1030.4700000000012</v>
      </c>
      <c r="O50" s="2">
        <f t="shared" si="1"/>
        <v>3972.7500000000014</v>
      </c>
      <c r="P50" s="16">
        <f>SUM(K50-O50)+H50</f>
        <v>7425.9799999999977</v>
      </c>
      <c r="Q50" s="22"/>
      <c r="R50" s="46">
        <v>7425.98</v>
      </c>
    </row>
    <row r="51" spans="1:18" x14ac:dyDescent="0.25">
      <c r="A51" s="38">
        <v>45</v>
      </c>
      <c r="B51" s="47" t="s">
        <v>28</v>
      </c>
      <c r="C51" s="14">
        <v>7011.99</v>
      </c>
      <c r="D51" s="24"/>
      <c r="E51" s="24"/>
      <c r="F51" s="24"/>
      <c r="G51" s="24"/>
      <c r="H51" s="24"/>
      <c r="I51" s="27"/>
      <c r="J51" s="27"/>
      <c r="K51" s="12">
        <f t="shared" si="25"/>
        <v>7011.99</v>
      </c>
      <c r="L51" s="3">
        <v>707.06</v>
      </c>
      <c r="M51" s="3">
        <v>783.18</v>
      </c>
      <c r="N51" s="2">
        <f t="shared" si="26"/>
        <v>1561.6</v>
      </c>
      <c r="O51" s="2">
        <f t="shared" si="1"/>
        <v>3051.8399999999997</v>
      </c>
      <c r="P51" s="16">
        <f t="shared" si="2"/>
        <v>3960.15</v>
      </c>
      <c r="Q51" s="22"/>
      <c r="R51" s="46">
        <v>3960.15</v>
      </c>
    </row>
    <row r="52" spans="1:18" x14ac:dyDescent="0.25">
      <c r="A52" s="38">
        <v>46</v>
      </c>
      <c r="B52" s="47" t="s">
        <v>29</v>
      </c>
      <c r="C52" s="14">
        <f>6486.13+1543.7</f>
        <v>8029.83</v>
      </c>
      <c r="D52" s="24">
        <v>2594.4499999999998</v>
      </c>
      <c r="E52" s="24"/>
      <c r="F52" s="24">
        <f>2656.07+885.36</f>
        <v>3541.4300000000003</v>
      </c>
      <c r="G52" s="24">
        <f>1770.71+590.24</f>
        <v>2360.9499999999998</v>
      </c>
      <c r="H52" s="24"/>
      <c r="I52" s="27"/>
      <c r="J52" s="27"/>
      <c r="K52" s="12">
        <f t="shared" ref="K52:K60" si="34">SUM(C52:I52)</f>
        <v>16526.66</v>
      </c>
      <c r="L52" s="3">
        <f>1793.71+1212.17</f>
        <v>3005.88</v>
      </c>
      <c r="M52" s="3">
        <f>607.42+380.65</f>
        <v>988.06999999999994</v>
      </c>
      <c r="N52" s="2">
        <f t="shared" si="26"/>
        <v>4613.4299999999994</v>
      </c>
      <c r="O52" s="2">
        <f t="shared" si="1"/>
        <v>8607.3799999999992</v>
      </c>
      <c r="P52" s="16">
        <f t="shared" si="2"/>
        <v>7919.2800000000007</v>
      </c>
      <c r="Q52" s="22"/>
      <c r="R52" s="46">
        <v>7919.28</v>
      </c>
    </row>
    <row r="53" spans="1:18" x14ac:dyDescent="0.25">
      <c r="A53" s="38">
        <v>47</v>
      </c>
      <c r="B53" s="47" t="s">
        <v>30</v>
      </c>
      <c r="C53" s="14">
        <f>8405.24+1309.39</f>
        <v>9714.6299999999992</v>
      </c>
      <c r="D53" s="24">
        <v>1667.01</v>
      </c>
      <c r="E53" s="24"/>
      <c r="F53" s="24"/>
      <c r="G53" s="24"/>
      <c r="H53" s="24"/>
      <c r="I53" s="27"/>
      <c r="J53" s="27"/>
      <c r="K53" s="12">
        <f t="shared" si="34"/>
        <v>11381.64</v>
      </c>
      <c r="L53" s="3">
        <v>1897.37</v>
      </c>
      <c r="M53" s="3">
        <v>988.07</v>
      </c>
      <c r="N53" s="2">
        <f t="shared" si="26"/>
        <v>986.66000000000076</v>
      </c>
      <c r="O53" s="2">
        <f t="shared" si="1"/>
        <v>3872.1000000000008</v>
      </c>
      <c r="P53" s="16">
        <f t="shared" si="2"/>
        <v>7509.5399999999991</v>
      </c>
      <c r="Q53" s="22"/>
      <c r="R53" s="46">
        <v>7509.54</v>
      </c>
    </row>
    <row r="54" spans="1:18" x14ac:dyDescent="0.25">
      <c r="A54" s="38">
        <v>48</v>
      </c>
      <c r="B54" s="47" t="s">
        <v>52</v>
      </c>
      <c r="C54" s="14">
        <v>4021.28</v>
      </c>
      <c r="D54" s="24"/>
      <c r="E54" s="24"/>
      <c r="F54" s="24"/>
      <c r="G54" s="24"/>
      <c r="H54" s="24"/>
      <c r="I54" s="27"/>
      <c r="J54" s="27"/>
      <c r="K54" s="12">
        <f t="shared" si="34"/>
        <v>4021.28</v>
      </c>
      <c r="L54" s="3">
        <v>0</v>
      </c>
      <c r="M54" s="3">
        <v>371.14</v>
      </c>
      <c r="N54" s="2">
        <f t="shared" ref="N54" si="35">K54-L54-M54-R54</f>
        <v>403.55000000000018</v>
      </c>
      <c r="O54" s="2">
        <f t="shared" ref="O54" si="36">SUM(L54:N54)</f>
        <v>774.69000000000017</v>
      </c>
      <c r="P54" s="16">
        <f t="shared" ref="P54" si="37">SUM(K54-O54)</f>
        <v>3246.59</v>
      </c>
      <c r="Q54" s="22"/>
      <c r="R54" s="46">
        <v>3246.59</v>
      </c>
    </row>
    <row r="55" spans="1:18" x14ac:dyDescent="0.25">
      <c r="A55" s="38">
        <v>49</v>
      </c>
      <c r="B55" s="47" t="s">
        <v>31</v>
      </c>
      <c r="C55" s="14">
        <f>18674.91+7395.26</f>
        <v>26070.17</v>
      </c>
      <c r="D55" s="24">
        <v>3734.98</v>
      </c>
      <c r="E55" s="24"/>
      <c r="F55" s="24"/>
      <c r="G55" s="24"/>
      <c r="H55" s="24"/>
      <c r="I55" s="27"/>
      <c r="J55" s="27"/>
      <c r="K55" s="12">
        <f t="shared" si="34"/>
        <v>29805.149999999998</v>
      </c>
      <c r="L55" s="3">
        <v>7015.97</v>
      </c>
      <c r="M55" s="3">
        <v>988.07</v>
      </c>
      <c r="N55" s="2">
        <f t="shared" si="26"/>
        <v>357.71999999999753</v>
      </c>
      <c r="O55" s="2">
        <f t="shared" si="1"/>
        <v>8361.7599999999984</v>
      </c>
      <c r="P55" s="16">
        <f>SUM(K55-O55)+H55</f>
        <v>21443.39</v>
      </c>
      <c r="Q55" s="22"/>
      <c r="R55" s="46">
        <v>21443.39</v>
      </c>
    </row>
    <row r="56" spans="1:18" x14ac:dyDescent="0.25">
      <c r="A56" s="38">
        <v>50</v>
      </c>
      <c r="B56" s="47" t="s">
        <v>32</v>
      </c>
      <c r="C56" s="14">
        <v>4516.34</v>
      </c>
      <c r="D56" s="24"/>
      <c r="E56" s="24"/>
      <c r="F56" s="24"/>
      <c r="G56" s="24"/>
      <c r="H56" s="24"/>
      <c r="I56" s="27"/>
      <c r="J56" s="27"/>
      <c r="K56" s="12">
        <f t="shared" si="34"/>
        <v>4516.34</v>
      </c>
      <c r="L56" s="3">
        <v>0</v>
      </c>
      <c r="M56" s="3">
        <v>433.78</v>
      </c>
      <c r="N56" s="2">
        <f t="shared" si="26"/>
        <v>146.79000000000042</v>
      </c>
      <c r="O56" s="2">
        <f t="shared" si="1"/>
        <v>580.57000000000039</v>
      </c>
      <c r="P56" s="16">
        <f t="shared" si="2"/>
        <v>3935.7699999999995</v>
      </c>
      <c r="Q56" s="22"/>
      <c r="R56" s="46">
        <v>3935.77</v>
      </c>
    </row>
    <row r="57" spans="1:18" x14ac:dyDescent="0.25">
      <c r="A57" s="38">
        <v>51</v>
      </c>
      <c r="B57" s="47" t="s">
        <v>69</v>
      </c>
      <c r="C57" s="14">
        <f>4975.52+265.7</f>
        <v>5241.22</v>
      </c>
      <c r="D57" s="24">
        <v>1667.01</v>
      </c>
      <c r="E57" s="24"/>
      <c r="F57" s="24"/>
      <c r="G57" s="24"/>
      <c r="H57" s="24"/>
      <c r="I57" s="27"/>
      <c r="J57" s="27"/>
      <c r="K57" s="12">
        <f t="shared" si="34"/>
        <v>6908.2300000000005</v>
      </c>
      <c r="L57" s="3">
        <v>720.85</v>
      </c>
      <c r="M57" s="3">
        <v>768.65</v>
      </c>
      <c r="N57" s="2">
        <f t="shared" ref="N57" si="38">K57-L57-M57-R57</f>
        <v>117.35000000000036</v>
      </c>
      <c r="O57" s="2">
        <f t="shared" ref="O57" si="39">SUM(L57:N57)</f>
        <v>1606.8500000000004</v>
      </c>
      <c r="P57" s="16">
        <f t="shared" ref="P57" si="40">SUM(K57-O57)</f>
        <v>5301.38</v>
      </c>
      <c r="Q57" s="22"/>
      <c r="R57" s="46">
        <v>5301.38</v>
      </c>
    </row>
    <row r="58" spans="1:18" x14ac:dyDescent="0.25">
      <c r="A58" s="38">
        <v>52</v>
      </c>
      <c r="B58" s="47" t="s">
        <v>74</v>
      </c>
      <c r="C58" s="14">
        <v>4733.57</v>
      </c>
      <c r="D58" s="24"/>
      <c r="E58" s="24"/>
      <c r="F58" s="24"/>
      <c r="G58" s="24"/>
      <c r="H58" s="24"/>
      <c r="I58" s="27"/>
      <c r="J58" s="27"/>
      <c r="K58" s="12">
        <f t="shared" si="34"/>
        <v>4733.57</v>
      </c>
      <c r="L58" s="3">
        <v>0</v>
      </c>
      <c r="M58" s="3">
        <v>464.2</v>
      </c>
      <c r="N58" s="2">
        <f t="shared" ref="N58" si="41">K58-L58-M58-R58</f>
        <v>1193.9499999999998</v>
      </c>
      <c r="O58" s="2">
        <f t="shared" ref="O58" si="42">SUM(L58:N58)</f>
        <v>1658.1499999999999</v>
      </c>
      <c r="P58" s="16">
        <f t="shared" ref="P58" si="43">SUM(K58-O58)</f>
        <v>3075.42</v>
      </c>
      <c r="Q58" s="22"/>
      <c r="R58" s="46">
        <v>3075.42</v>
      </c>
    </row>
    <row r="59" spans="1:18" x14ac:dyDescent="0.25">
      <c r="A59" s="38">
        <v>53</v>
      </c>
      <c r="B59" s="47" t="s">
        <v>33</v>
      </c>
      <c r="C59" s="14">
        <f>16763.16+8213.95</f>
        <v>24977.11</v>
      </c>
      <c r="D59" s="24">
        <v>6705.26</v>
      </c>
      <c r="E59" s="24"/>
      <c r="F59" s="24"/>
      <c r="G59" s="24"/>
      <c r="H59" s="24"/>
      <c r="I59" s="27"/>
      <c r="J59" s="27"/>
      <c r="K59" s="12">
        <f t="shared" si="34"/>
        <v>31682.370000000003</v>
      </c>
      <c r="L59" s="3">
        <v>7480.07</v>
      </c>
      <c r="M59" s="3">
        <v>988.07</v>
      </c>
      <c r="N59" s="2">
        <f t="shared" si="26"/>
        <v>1595.7700000000041</v>
      </c>
      <c r="O59" s="2">
        <f t="shared" si="1"/>
        <v>10063.910000000003</v>
      </c>
      <c r="P59" s="16">
        <f>SUM(K59-O59)+H59</f>
        <v>21618.46</v>
      </c>
      <c r="Q59" s="22"/>
      <c r="R59" s="46">
        <v>21618.46</v>
      </c>
    </row>
    <row r="60" spans="1:18" x14ac:dyDescent="0.25">
      <c r="A60" s="38">
        <v>54</v>
      </c>
      <c r="B60" s="47" t="s">
        <v>34</v>
      </c>
      <c r="C60" s="14">
        <v>8819.26</v>
      </c>
      <c r="D60" s="24"/>
      <c r="E60" s="24"/>
      <c r="F60" s="24"/>
      <c r="G60" s="24"/>
      <c r="H60" s="24"/>
      <c r="I60" s="27"/>
      <c r="J60" s="27"/>
      <c r="K60" s="12">
        <f t="shared" si="34"/>
        <v>8819.26</v>
      </c>
      <c r="L60" s="3">
        <v>1244.8499999999999</v>
      </c>
      <c r="M60" s="3">
        <v>988.07</v>
      </c>
      <c r="N60" s="2">
        <f t="shared" si="26"/>
        <v>1520.8900000000003</v>
      </c>
      <c r="O60" s="2">
        <f t="shared" si="1"/>
        <v>3753.8100000000004</v>
      </c>
      <c r="P60" s="16">
        <f t="shared" si="2"/>
        <v>5065.45</v>
      </c>
      <c r="Q60" s="22"/>
      <c r="R60" s="46">
        <v>5065.45</v>
      </c>
    </row>
    <row r="61" spans="1:18" x14ac:dyDescent="0.25">
      <c r="A61" s="38">
        <v>55</v>
      </c>
      <c r="B61" s="47" t="s">
        <v>57</v>
      </c>
      <c r="C61" s="14">
        <f>7053.37+423.2</f>
        <v>7476.57</v>
      </c>
      <c r="D61" s="24"/>
      <c r="E61" s="24"/>
      <c r="F61" s="24"/>
      <c r="G61" s="24"/>
      <c r="H61" s="24"/>
      <c r="I61" s="27"/>
      <c r="J61" s="27"/>
      <c r="K61" s="12">
        <f>SUM(C61:I61)</f>
        <v>7476.57</v>
      </c>
      <c r="L61" s="3">
        <v>914.07</v>
      </c>
      <c r="M61" s="3">
        <v>848.22</v>
      </c>
      <c r="N61" s="2">
        <f t="shared" ref="N61:N62" si="44">K61-L61-M61-R61</f>
        <v>145.84999999999945</v>
      </c>
      <c r="O61" s="2">
        <f t="shared" ref="O61" si="45">SUM(L61:N61)</f>
        <v>1908.1399999999994</v>
      </c>
      <c r="P61" s="16">
        <f t="shared" ref="P61" si="46">SUM(K61-O61)</f>
        <v>5568.43</v>
      </c>
      <c r="Q61" s="22"/>
      <c r="R61" s="46">
        <v>5568.43</v>
      </c>
    </row>
    <row r="62" spans="1:18" x14ac:dyDescent="0.25">
      <c r="A62" s="38">
        <v>56</v>
      </c>
      <c r="B62" s="49" t="s">
        <v>84</v>
      </c>
      <c r="C62" s="43">
        <v>4504.2700000000004</v>
      </c>
      <c r="D62" s="44"/>
      <c r="E62" s="44"/>
      <c r="F62" s="44"/>
      <c r="G62" s="24"/>
      <c r="H62" s="24"/>
      <c r="I62" s="27"/>
      <c r="J62" s="27"/>
      <c r="K62" s="12">
        <f>SUM(C62:I62)</f>
        <v>4504.2700000000004</v>
      </c>
      <c r="L62" s="45">
        <v>0</v>
      </c>
      <c r="M62" s="45">
        <v>432.1</v>
      </c>
      <c r="N62" s="2">
        <f t="shared" si="44"/>
        <v>319.61000000000058</v>
      </c>
      <c r="O62" s="2">
        <f t="shared" ref="O62" si="47">SUM(L62:N62)</f>
        <v>751.7100000000006</v>
      </c>
      <c r="P62" s="16">
        <f t="shared" ref="P62" si="48">SUM(K62-O62)</f>
        <v>3752.56</v>
      </c>
      <c r="Q62" s="22"/>
      <c r="R62" s="46">
        <v>3752.56</v>
      </c>
    </row>
    <row r="63" spans="1:18" ht="15.75" thickBot="1" x14ac:dyDescent="0.3">
      <c r="A63" s="38">
        <v>57</v>
      </c>
      <c r="B63" s="50" t="s">
        <v>35</v>
      </c>
      <c r="C63" s="15">
        <f>12514.81+2978.52</f>
        <v>15493.33</v>
      </c>
      <c r="D63" s="26">
        <v>5005.92</v>
      </c>
      <c r="E63" s="26"/>
      <c r="F63" s="26"/>
      <c r="G63" s="26"/>
      <c r="H63" s="26"/>
      <c r="I63" s="28">
        <v>4791.08</v>
      </c>
      <c r="J63" s="28"/>
      <c r="K63" s="13">
        <f>SUM(C63:J63)</f>
        <v>25290.33</v>
      </c>
      <c r="L63" s="10">
        <v>5722.26</v>
      </c>
      <c r="M63" s="10">
        <v>988.07</v>
      </c>
      <c r="N63" s="11">
        <f t="shared" si="26"/>
        <v>59.349999999998545</v>
      </c>
      <c r="O63" s="11">
        <f t="shared" si="1"/>
        <v>6769.6799999999985</v>
      </c>
      <c r="P63" s="17">
        <f t="shared" si="2"/>
        <v>18520.650000000001</v>
      </c>
      <c r="Q63" s="22"/>
      <c r="R63" s="46">
        <v>18520.650000000001</v>
      </c>
    </row>
    <row r="64" spans="1:18" ht="15.75" thickBot="1" x14ac:dyDescent="0.3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2:16" x14ac:dyDescent="0.25">
      <c r="B65" s="60" t="s">
        <v>81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2"/>
    </row>
    <row r="66" spans="2:16" ht="5.25" customHeight="1" x14ac:dyDescent="0.25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</row>
    <row r="67" spans="2:16" x14ac:dyDescent="0.25">
      <c r="B67" s="57" t="s">
        <v>65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</row>
    <row r="68" spans="2:16" x14ac:dyDescent="0.25">
      <c r="B68" s="54" t="s">
        <v>63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</row>
    <row r="69" spans="2:16" x14ac:dyDescent="0.25">
      <c r="B69" s="54" t="s">
        <v>82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64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ht="15.75" thickBot="1" x14ac:dyDescent="0.3">
      <c r="B71" s="51" t="s">
        <v>76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</row>
    <row r="72" spans="2:16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39"/>
      <c r="L73" s="5"/>
      <c r="M73" s="5"/>
      <c r="N73" s="5"/>
      <c r="O73" s="39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1"/>
      <c r="L74" s="41"/>
      <c r="M74" s="41"/>
      <c r="N74" s="41"/>
      <c r="O74" s="41"/>
      <c r="P74" s="41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1:P71"/>
    <mergeCell ref="B66:P66"/>
    <mergeCell ref="B67:P67"/>
    <mergeCell ref="B68:P68"/>
    <mergeCell ref="B70:P70"/>
    <mergeCell ref="B69:P69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2026-01-22T18:00:39Z</dcterms:modified>
</cp:coreProperties>
</file>