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6\PORTAL DA TRANSPARÊNCIA\04-ABRIL\"/>
    </mc:Choice>
  </mc:AlternateContent>
  <xr:revisionPtr revIDLastSave="0" documentId="13_ncr:1_{1AF28947-A489-4274-9523-5AAF34161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6" l="1"/>
  <c r="C57" i="6"/>
  <c r="M55" i="6"/>
  <c r="G55" i="6"/>
  <c r="F55" i="6"/>
  <c r="C55" i="6"/>
  <c r="C54" i="6"/>
  <c r="C52" i="6"/>
  <c r="K50" i="6"/>
  <c r="N50" i="6"/>
  <c r="O50" i="6" s="1"/>
  <c r="P50" i="6" s="1"/>
  <c r="C49" i="6"/>
  <c r="C47" i="6"/>
  <c r="C46" i="6"/>
  <c r="M45" i="6"/>
  <c r="G45" i="6"/>
  <c r="F45" i="6"/>
  <c r="C45" i="6"/>
  <c r="C44" i="6"/>
  <c r="C43" i="6"/>
  <c r="C42" i="6"/>
  <c r="M41" i="6"/>
  <c r="F41" i="6"/>
  <c r="D41" i="6"/>
  <c r="C41" i="6"/>
  <c r="M40" i="6"/>
  <c r="F40" i="6"/>
  <c r="C40" i="6"/>
  <c r="C39" i="6"/>
  <c r="C38" i="6"/>
  <c r="D35" i="6"/>
  <c r="C35" i="6"/>
  <c r="C34" i="6"/>
  <c r="C33" i="6"/>
  <c r="C32" i="6"/>
  <c r="M29" i="6"/>
  <c r="G29" i="6"/>
  <c r="F29" i="6"/>
  <c r="C29" i="6"/>
  <c r="K28" i="6"/>
  <c r="N28" i="6" s="1"/>
  <c r="O28" i="6" s="1"/>
  <c r="C22" i="6"/>
  <c r="M21" i="6"/>
  <c r="L21" i="6"/>
  <c r="F21" i="6"/>
  <c r="C21" i="6"/>
  <c r="M20" i="6"/>
  <c r="G20" i="6"/>
  <c r="F20" i="6"/>
  <c r="C20" i="6"/>
  <c r="M18" i="6"/>
  <c r="F18" i="6"/>
  <c r="C18" i="6"/>
  <c r="C17" i="6"/>
  <c r="C16" i="6"/>
  <c r="C15" i="6"/>
  <c r="D14" i="6"/>
  <c r="C14" i="6"/>
  <c r="M12" i="6"/>
  <c r="L12" i="6"/>
  <c r="F12" i="6"/>
  <c r="C12" i="6"/>
  <c r="M10" i="6"/>
  <c r="F10" i="6"/>
  <c r="C10" i="6"/>
  <c r="C9" i="6"/>
  <c r="M8" i="6"/>
  <c r="F8" i="6"/>
  <c r="C8" i="6"/>
  <c r="C7" i="6"/>
  <c r="K13" i="6"/>
  <c r="N13" i="6" s="1"/>
  <c r="O13" i="6" s="1"/>
  <c r="P13" i="6" s="1"/>
  <c r="K51" i="6"/>
  <c r="N51" i="6" s="1"/>
  <c r="O51" i="6" s="1"/>
  <c r="P51" i="6" s="1"/>
  <c r="K48" i="6"/>
  <c r="N48" i="6" s="1"/>
  <c r="O48" i="6" s="1"/>
  <c r="P48" i="6" s="1"/>
  <c r="P28" i="6" l="1"/>
  <c r="K60" i="6"/>
  <c r="N60" i="6" s="1"/>
  <c r="O60" i="6" s="1"/>
  <c r="P60" i="6" s="1"/>
  <c r="K36" i="6"/>
  <c r="N36" i="6" l="1"/>
  <c r="O36" i="6" s="1"/>
  <c r="P36" i="6" s="1"/>
  <c r="K31" i="6"/>
  <c r="N31" i="6" l="1"/>
  <c r="O31" i="6" s="1"/>
  <c r="P31" i="6" s="1"/>
  <c r="K30" i="6"/>
  <c r="K20" i="6"/>
  <c r="N20" i="6" s="1"/>
  <c r="O20" i="6" s="1"/>
  <c r="P20" i="6" s="1"/>
  <c r="N30" i="6" l="1"/>
  <c r="O30" i="6" s="1"/>
  <c r="P30" i="6" s="1"/>
  <c r="K18" i="6"/>
  <c r="N18" i="6" s="1"/>
  <c r="K56" i="6"/>
  <c r="N56" i="6" s="1"/>
  <c r="O56" i="6" s="1"/>
  <c r="K45" i="6"/>
  <c r="N45" i="6" s="1"/>
  <c r="O45" i="6" s="1"/>
  <c r="P45" i="6" s="1"/>
  <c r="K40" i="6"/>
  <c r="N40" i="6" s="1"/>
  <c r="O40" i="6" s="1"/>
  <c r="P40" i="6" s="1"/>
  <c r="K10" i="6"/>
  <c r="O18" i="6" l="1"/>
  <c r="P18" i="6" s="1"/>
  <c r="P56" i="6"/>
  <c r="N10" i="6"/>
  <c r="O10" i="6" s="1"/>
  <c r="P10" i="6" s="1"/>
  <c r="K55" i="6"/>
  <c r="K61" i="6" l="1"/>
  <c r="K42" i="6"/>
  <c r="N55" i="6"/>
  <c r="O55" i="6" s="1"/>
  <c r="P55" i="6" s="1"/>
  <c r="K12" i="6"/>
  <c r="K9" i="6"/>
  <c r="N9" i="6" s="1"/>
  <c r="O9" i="6" s="1"/>
  <c r="P9" i="6" s="1"/>
  <c r="N12" i="6" l="1"/>
  <c r="O12" i="6" s="1"/>
  <c r="P12" i="6" s="1"/>
  <c r="K54" i="6" l="1"/>
  <c r="K44" i="6"/>
  <c r="K43" i="6"/>
  <c r="K41" i="6"/>
  <c r="K33" i="6"/>
  <c r="K46" i="6"/>
  <c r="K49" i="6"/>
  <c r="K52" i="6"/>
  <c r="K53" i="6"/>
  <c r="K57" i="6"/>
  <c r="K58" i="6"/>
  <c r="K59" i="6"/>
  <c r="K39" i="6"/>
  <c r="K26" i="6"/>
  <c r="K27" i="6"/>
  <c r="K29" i="6"/>
  <c r="K32" i="6"/>
  <c r="K34" i="6"/>
  <c r="K35" i="6"/>
  <c r="K37" i="6"/>
  <c r="K38" i="6"/>
  <c r="K8" i="6"/>
  <c r="K11" i="6"/>
  <c r="K15" i="6"/>
  <c r="K16" i="6"/>
  <c r="K17" i="6"/>
  <c r="K19" i="6"/>
  <c r="K21" i="6"/>
  <c r="K22" i="6"/>
  <c r="K23" i="6"/>
  <c r="K24" i="6"/>
  <c r="K25" i="6"/>
  <c r="K7" i="6"/>
  <c r="K47" i="6" l="1"/>
  <c r="K14" i="6"/>
  <c r="N59" i="6" l="1"/>
  <c r="O59" i="6" s="1"/>
  <c r="P59" i="6" s="1"/>
  <c r="N27" i="6" l="1"/>
  <c r="O27" i="6" s="1"/>
  <c r="P27" i="6" s="1"/>
  <c r="N8" i="6" l="1"/>
  <c r="O8" i="6" s="1"/>
  <c r="P8" i="6" s="1"/>
  <c r="N37" i="6" l="1"/>
  <c r="O37" i="6" s="1"/>
  <c r="P37" i="6" s="1"/>
  <c r="N53" i="6" l="1"/>
  <c r="O53" i="6" s="1"/>
  <c r="P53" i="6" s="1"/>
  <c r="N15" i="6" l="1"/>
  <c r="O15" i="6" s="1"/>
  <c r="P15" i="6" s="1"/>
  <c r="N11" i="6" l="1"/>
  <c r="O11" i="6" s="1"/>
  <c r="P11" i="6" s="1"/>
  <c r="N61" i="6"/>
  <c r="O61" i="6" s="1"/>
  <c r="P61" i="6" s="1"/>
  <c r="N52" i="6"/>
  <c r="O52" i="6" s="1"/>
  <c r="P52" i="6" s="1"/>
  <c r="N49" i="6"/>
  <c r="O49" i="6" s="1"/>
  <c r="P49" i="6" s="1"/>
  <c r="N44" i="6"/>
  <c r="O44" i="6" s="1"/>
  <c r="N43" i="6"/>
  <c r="O43" i="6" s="1"/>
  <c r="N42" i="6"/>
  <c r="O42" i="6" s="1"/>
  <c r="P42" i="6" s="1"/>
  <c r="N39" i="6"/>
  <c r="O39" i="6" s="1"/>
  <c r="P39" i="6" s="1"/>
  <c r="N34" i="6"/>
  <c r="O34" i="6" s="1"/>
  <c r="P34" i="6" s="1"/>
  <c r="N33" i="6"/>
  <c r="O33" i="6" s="1"/>
  <c r="P33" i="6" s="1"/>
  <c r="N32" i="6"/>
  <c r="O32" i="6" s="1"/>
  <c r="P32" i="6" s="1"/>
  <c r="N25" i="6"/>
  <c r="O25" i="6" s="1"/>
  <c r="P25" i="6" s="1"/>
  <c r="N23" i="6"/>
  <c r="O23" i="6" s="1"/>
  <c r="P23" i="6" s="1"/>
  <c r="N22" i="6"/>
  <c r="O22" i="6" s="1"/>
  <c r="P22" i="6" s="1"/>
  <c r="N21" i="6"/>
  <c r="O21" i="6" s="1"/>
  <c r="P21" i="6" s="1"/>
  <c r="N17" i="6"/>
  <c r="O17" i="6" s="1"/>
  <c r="P17" i="6" s="1"/>
  <c r="N7" i="6"/>
  <c r="O7" i="6" s="1"/>
  <c r="P7" i="6" s="1"/>
  <c r="N41" i="6" l="1"/>
  <c r="O41" i="6" s="1"/>
  <c r="P41" i="6" s="1"/>
  <c r="N58" i="6"/>
  <c r="O58" i="6" s="1"/>
  <c r="P58" i="6" s="1"/>
  <c r="N16" i="6"/>
  <c r="O16" i="6" s="1"/>
  <c r="P16" i="6" s="1"/>
  <c r="N54" i="6"/>
  <c r="O54" i="6" s="1"/>
  <c r="P54" i="6" s="1"/>
  <c r="N46" i="6"/>
  <c r="N47" i="6"/>
  <c r="O47" i="6" s="1"/>
  <c r="P47" i="6" s="1"/>
  <c r="N57" i="6"/>
  <c r="O57" i="6" s="1"/>
  <c r="P57" i="6" s="1"/>
  <c r="N29" i="6"/>
  <c r="O29" i="6" s="1"/>
  <c r="P29" i="6" s="1"/>
  <c r="N24" i="6"/>
  <c r="O24" i="6" s="1"/>
  <c r="P24" i="6" s="1"/>
  <c r="N35" i="6"/>
  <c r="O35" i="6" s="1"/>
  <c r="P35" i="6" s="1"/>
  <c r="N19" i="6"/>
  <c r="O19" i="6" s="1"/>
  <c r="P19" i="6" s="1"/>
  <c r="N14" i="6"/>
  <c r="O14" i="6" s="1"/>
  <c r="P14" i="6" s="1"/>
  <c r="P44" i="6"/>
  <c r="P43" i="6"/>
  <c r="N38" i="6"/>
  <c r="O38" i="6" s="1"/>
  <c r="P38" i="6" s="1"/>
  <c r="O46" i="6" l="1"/>
  <c r="P46" i="6" s="1"/>
  <c r="N26" i="6" l="1"/>
  <c r="O26" i="6" s="1"/>
  <c r="P26" i="6" s="1"/>
</calcChain>
</file>

<file path=xl/sharedStrings.xml><?xml version="1.0" encoding="utf-8"?>
<sst xmlns="http://schemas.openxmlformats.org/spreadsheetml/2006/main" count="87" uniqueCount="85">
  <si>
    <t>ADRIANA IAIZZO MAGALHAES</t>
  </si>
  <si>
    <t>BERNADETE DOS SANTOS GONCALVES</t>
  </si>
  <si>
    <t>CELITA ZAIDOVICZ PALTANIN</t>
  </si>
  <si>
    <t>DIRCEU DE FATIMA ZONATTO</t>
  </si>
  <si>
    <t>ELIZANDRA CARVALHO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</si>
  <si>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</si>
  <si>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</si>
  <si>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</si>
  <si>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</si>
  <si>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</si>
  <si>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</si>
  <si>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</si>
  <si>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</si>
  <si>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</si>
  <si>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</si>
  <si>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</si>
  <si>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</si>
  <si>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</si>
  <si>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</si>
  <si>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</si>
  <si>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</si>
  <si>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</si>
  <si>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</si>
  <si>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</si>
  <si>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</si>
  <si>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RAFAEL MARCOS AMARAL</t>
  </si>
  <si>
    <t>ROGERS SILVA GARCEZ DAS NEVES</t>
  </si>
  <si>
    <t>RONALDO VELOSO DE ALCANTARA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</si>
  <si>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</si>
  <si>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</si>
  <si>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</si>
  <si>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</si>
  <si>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</si>
  <si>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</si>
  <si>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</si>
  <si>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</si>
  <si>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</si>
  <si>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</si>
  <si>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</si>
  <si>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</si>
  <si>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</si>
  <si>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</si>
  <si>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</si>
  <si>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</si>
  <si>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</si>
  <si>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</si>
  <si>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</si>
  <si>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</si>
  <si>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</si>
  <si>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</si>
  <si>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</si>
  <si>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</si>
  <si>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</si>
  <si>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</si>
  <si>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</si>
  <si>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</si>
  <si>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</si>
  <si>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</si>
  <si>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</si>
  <si>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</si>
  <si>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</si>
  <si>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</si>
  <si>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</si>
  <si>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</si>
  <si>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</si>
  <si>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</si>
  <si>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ANNE KAROLYNE CABRAL FORTUNATO</t>
  </si>
  <si>
    <t>MARILIZA MIOTTO</t>
  </si>
  <si>
    <t>SIBELLI CRISTINA SABINO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</si>
  <si>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</si>
  <si>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</si>
  <si>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</si>
  <si>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</si>
  <si>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</si>
  <si>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</si>
  <si>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</si>
  <si>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</si>
  <si>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</si>
  <si>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t>VINICIUS GABRIEL FRANK SALDANHA</t>
  </si>
  <si>
    <t>PHILIPPE YAN GUERIOS SERVIN</t>
  </si>
  <si>
    <t>RENAN FELIPE CORREA NETO</t>
  </si>
  <si>
    <t>CAROLINE KIRSTIE KRULL TELES</t>
  </si>
  <si>
    <t>Abril/2026</t>
  </si>
  <si>
    <t>LAILA SILVA SANTOS</t>
  </si>
  <si>
    <t>RAFAEL WILLIAM FURLAN FIM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</si>
</sst>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1" fillId="3" borderId="16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4" xfId="0" applyNumberFormat="1" applyFont="1" applyFill="1" applyBorder="1" applyProtection="1">
      <protection locked="0"/>
    </xf>
    <xf numFmtId="164" fontId="1" fillId="4" borderId="24" xfId="0" applyNumberFormat="1" applyFont="1" applyFill="1" applyBorder="1"/>
    <xf numFmtId="164" fontId="0" fillId="0" borderId="22" xfId="0" applyNumberFormat="1" applyBorder="1" applyProtection="1">
      <protection locked="0"/>
    </xf>
    <xf numFmtId="164" fontId="0" fillId="0" borderId="22" xfId="0" applyNumberFormat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0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0" borderId="27" xfId="0" applyNumberFormat="1" applyFont="1" applyBorder="1" applyProtection="1">
      <protection locked="0"/>
    </xf>
    <xf numFmtId="164" fontId="0" fillId="0" borderId="27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3" xfId="0" applyFont="1" applyBorder="1"/>
    <xf numFmtId="0" fontId="4" fillId="0" borderId="25" xfId="0" applyFont="1" applyBorder="1"/>
    <xf numFmtId="0" fontId="4" fillId="0" borderId="18" xfId="0" applyFont="1" applyBorder="1"/>
    <xf numFmtId="164" fontId="1" fillId="2" borderId="28" xfId="0" applyNumberFormat="1" applyFont="1" applyFill="1" applyBorder="1"/>
    <xf numFmtId="164" fontId="1" fillId="2" borderId="29" xfId="0" applyNumberFormat="1" applyFont="1" applyFill="1" applyBorder="1"/>
    <xf numFmtId="164" fontId="1" fillId="2" borderId="30" xfId="0" applyNumberFormat="1" applyFont="1" applyFill="1" applyBorder="1"/>
    <xf numFmtId="164" fontId="0" fillId="0" borderId="31" xfId="0" applyNumberFormat="1" applyBorder="1"/>
    <xf numFmtId="164" fontId="0" fillId="0" borderId="28" xfId="0" applyNumberFormat="1" applyBorder="1"/>
    <xf numFmtId="164" fontId="0" fillId="0" borderId="30" xfId="0" applyNumberFormat="1" applyBorder="1"/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I17" sqref="I17"/>
    </sheetView>
  </sheetViews>
  <sheetFormatPr defaultRowHeight="15" outlineLevelCol="1" x14ac:dyDescent="0.25"/>
  <cols>
    <col min="1" max="1" width="3.7109375" customWidth="1"/>
    <col min="2" max="2" width="53.140625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8" ht="16.5" x14ac:dyDescent="0.25">
      <c r="B1" s="67" t="s">
        <v>42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ht="16.5" x14ac:dyDescent="0.25">
      <c r="B2" s="67" t="s">
        <v>43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8" ht="4.5" customHeight="1" thickBot="1" x14ac:dyDescent="0.3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8" ht="19.5" thickBot="1" x14ac:dyDescent="0.35">
      <c r="B4" s="37" t="s">
        <v>82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8" x14ac:dyDescent="0.25">
      <c r="B5" s="69" t="s">
        <v>41</v>
      </c>
      <c r="C5" s="71" t="s">
        <v>31</v>
      </c>
      <c r="D5" s="75" t="s">
        <v>53</v>
      </c>
      <c r="E5" s="71" t="s">
        <v>32</v>
      </c>
      <c r="F5" s="71" t="s">
        <v>54</v>
      </c>
      <c r="G5" s="31" t="s">
        <v>55</v>
      </c>
      <c r="H5" s="32" t="s">
        <v>57</v>
      </c>
      <c r="I5" s="16" t="s">
        <v>44</v>
      </c>
      <c r="J5" s="8" t="s">
        <v>61</v>
      </c>
      <c r="K5" s="16" t="s">
        <v>33</v>
      </c>
      <c r="L5" s="73" t="s">
        <v>35</v>
      </c>
      <c r="M5" s="71" t="s">
        <v>36</v>
      </c>
      <c r="N5" s="16" t="s">
        <v>37</v>
      </c>
      <c r="O5" s="8" t="s">
        <v>39</v>
      </c>
      <c r="P5" s="18" t="s">
        <v>33</v>
      </c>
    </row>
    <row r="6" spans="1:18" ht="15.75" thickBot="1" x14ac:dyDescent="0.3">
      <c r="B6" s="70"/>
      <c r="C6" s="72"/>
      <c r="D6" s="76"/>
      <c r="E6" s="72"/>
      <c r="F6" s="72"/>
      <c r="G6" s="33" t="s">
        <v>56</v>
      </c>
      <c r="H6" s="34" t="s">
        <v>46</v>
      </c>
      <c r="I6" s="17" t="s">
        <v>45</v>
      </c>
      <c r="J6" s="9" t="s">
        <v>62</v>
      </c>
      <c r="K6" s="17" t="s">
        <v>34</v>
      </c>
      <c r="L6" s="74"/>
      <c r="M6" s="72"/>
      <c r="N6" s="17" t="s">
        <v>38</v>
      </c>
      <c r="O6" s="9" t="s">
        <v>38</v>
      </c>
      <c r="P6" s="19" t="s">
        <v>40</v>
      </c>
    </row>
    <row r="7" spans="1:18" x14ac:dyDescent="0.25">
      <c r="A7" s="35">
        <v>1</v>
      </c>
      <c r="B7" s="44" t="s">
        <v>0</v>
      </c>
      <c r="C7" s="14">
        <f>9023.82+1389.67</f>
        <v>10413.49</v>
      </c>
      <c r="D7" s="22">
        <v>3609.53</v>
      </c>
      <c r="E7" s="22"/>
      <c r="F7" s="22"/>
      <c r="G7" s="22"/>
      <c r="H7" s="22"/>
      <c r="I7" s="25"/>
      <c r="J7" s="25"/>
      <c r="K7" s="12">
        <f t="shared" ref="K7:K14" si="0">SUM(C7:I7)</f>
        <v>14023.02</v>
      </c>
      <c r="L7" s="3">
        <v>2675.88</v>
      </c>
      <c r="M7" s="3">
        <v>988.07</v>
      </c>
      <c r="N7" s="2">
        <f>K7-L7-M7-R7</f>
        <v>55.559999999999491</v>
      </c>
      <c r="O7" s="51">
        <f t="shared" ref="O7:O61" si="1">SUM(L7:N7)</f>
        <v>3719.5099999999998</v>
      </c>
      <c r="P7" s="48">
        <f t="shared" ref="P7:P61" si="2">SUM(K7-O7)</f>
        <v>10303.51</v>
      </c>
      <c r="Q7" s="20"/>
      <c r="R7" s="43">
        <v>10303.51</v>
      </c>
    </row>
    <row r="8" spans="1:18" x14ac:dyDescent="0.25">
      <c r="A8" s="35">
        <v>2</v>
      </c>
      <c r="B8" s="44" t="s">
        <v>49</v>
      </c>
      <c r="C8" s="14">
        <f>4140.61+561.89</f>
        <v>4702.5</v>
      </c>
      <c r="D8" s="22">
        <v>2883.06</v>
      </c>
      <c r="E8" s="22"/>
      <c r="F8" s="22">
        <f>1283.8+427.93+129.4+43.13</f>
        <v>1884.2600000000002</v>
      </c>
      <c r="G8" s="22"/>
      <c r="H8" s="22"/>
      <c r="I8" s="25"/>
      <c r="J8" s="25"/>
      <c r="K8" s="12">
        <f t="shared" si="0"/>
        <v>9469.82</v>
      </c>
      <c r="L8" s="3">
        <v>988.7</v>
      </c>
      <c r="M8" s="3">
        <f>858.34+129.73</f>
        <v>988.07</v>
      </c>
      <c r="N8" s="2">
        <f t="shared" ref="N8:N13" si="3">K8-L8-M8-R8</f>
        <v>1696.119999999999</v>
      </c>
      <c r="O8" s="52">
        <f t="shared" si="1"/>
        <v>3672.889999999999</v>
      </c>
      <c r="P8" s="48">
        <f t="shared" si="2"/>
        <v>5796.93</v>
      </c>
      <c r="Q8" s="20"/>
      <c r="R8" s="43">
        <v>5796.93</v>
      </c>
    </row>
    <row r="9" spans="1:18" x14ac:dyDescent="0.25">
      <c r="A9" s="35">
        <v>3</v>
      </c>
      <c r="B9" s="44" t="s">
        <v>65</v>
      </c>
      <c r="C9" s="14">
        <f>7677.11+368.5</f>
        <v>8045.61</v>
      </c>
      <c r="D9" s="22">
        <v>1535.42</v>
      </c>
      <c r="E9" s="22"/>
      <c r="F9" s="20"/>
      <c r="G9" s="20"/>
      <c r="H9" s="22"/>
      <c r="I9" s="25"/>
      <c r="J9" s="25"/>
      <c r="K9" s="12">
        <f t="shared" ref="K9:K10" si="4">SUM(C9:I9)</f>
        <v>9581.0299999999988</v>
      </c>
      <c r="L9" s="3">
        <v>1454.33</v>
      </c>
      <c r="M9" s="3">
        <v>988.07</v>
      </c>
      <c r="N9" s="2">
        <f t="shared" ref="N9:N10" si="5">K9-L9-M9-R9</f>
        <v>901.91999999999916</v>
      </c>
      <c r="O9" s="52">
        <f t="shared" ref="O9:O10" si="6">SUM(L9:N9)</f>
        <v>3344.3199999999993</v>
      </c>
      <c r="P9" s="48">
        <f t="shared" ref="P9:P10" si="7">SUM(K9-O9)</f>
        <v>6236.7099999999991</v>
      </c>
      <c r="Q9" s="20"/>
      <c r="R9" s="43">
        <v>6236.71</v>
      </c>
    </row>
    <row r="10" spans="1:18" x14ac:dyDescent="0.25">
      <c r="A10" s="35">
        <v>4</v>
      </c>
      <c r="B10" s="44" t="s">
        <v>66</v>
      </c>
      <c r="C10" s="14">
        <f>4443.45+133.3</f>
        <v>4576.75</v>
      </c>
      <c r="D10" s="22"/>
      <c r="E10" s="22"/>
      <c r="F10" s="22">
        <f>804.63+268.21+107.58+35.86</f>
        <v>1216.2799999999997</v>
      </c>
      <c r="G10" s="22"/>
      <c r="H10" s="22"/>
      <c r="I10" s="25"/>
      <c r="J10" s="25"/>
      <c r="K10" s="12">
        <f t="shared" si="4"/>
        <v>5793.03</v>
      </c>
      <c r="L10" s="3"/>
      <c r="M10" s="3">
        <f>532.06+80.46</f>
        <v>612.52</v>
      </c>
      <c r="N10" s="2">
        <f t="shared" si="5"/>
        <v>1001.7300000000005</v>
      </c>
      <c r="O10" s="52">
        <f t="shared" si="6"/>
        <v>1614.2500000000005</v>
      </c>
      <c r="P10" s="48">
        <f t="shared" si="7"/>
        <v>4178.7799999999988</v>
      </c>
      <c r="Q10" s="20"/>
      <c r="R10" s="43">
        <v>4178.78</v>
      </c>
    </row>
    <row r="11" spans="1:18" x14ac:dyDescent="0.25">
      <c r="A11" s="35">
        <v>5</v>
      </c>
      <c r="B11" s="44" t="s">
        <v>1</v>
      </c>
      <c r="C11" s="14">
        <v>7564.61</v>
      </c>
      <c r="D11" s="22"/>
      <c r="E11" s="22"/>
      <c r="F11" s="22"/>
      <c r="G11" s="22"/>
      <c r="H11" s="22"/>
      <c r="I11" s="25"/>
      <c r="J11" s="25"/>
      <c r="K11" s="12">
        <f t="shared" si="0"/>
        <v>7564.61</v>
      </c>
      <c r="L11" s="3">
        <v>934.89</v>
      </c>
      <c r="M11" s="3">
        <v>860.54</v>
      </c>
      <c r="N11" s="2">
        <f t="shared" si="3"/>
        <v>1105.619999999999</v>
      </c>
      <c r="O11" s="52">
        <f t="shared" si="1"/>
        <v>2901.0499999999988</v>
      </c>
      <c r="P11" s="48">
        <f t="shared" si="2"/>
        <v>4663.5600000000013</v>
      </c>
      <c r="Q11" s="20"/>
      <c r="R11" s="43">
        <v>4663.5600000000004</v>
      </c>
    </row>
    <row r="12" spans="1:18" x14ac:dyDescent="0.25">
      <c r="A12" s="35">
        <v>6</v>
      </c>
      <c r="B12" s="44" t="s">
        <v>63</v>
      </c>
      <c r="C12" s="14">
        <f>4094.46+245.67</f>
        <v>4340.13</v>
      </c>
      <c r="D12" s="22">
        <v>818.89</v>
      </c>
      <c r="E12" s="22"/>
      <c r="F12" s="22">
        <f>4065.66+1355.22+417.88+139.29</f>
        <v>5978.05</v>
      </c>
      <c r="G12" s="22"/>
      <c r="H12" s="22">
        <v>4356.07</v>
      </c>
      <c r="I12" s="25"/>
      <c r="J12" s="25"/>
      <c r="K12" s="12">
        <f t="shared" si="0"/>
        <v>15493.14</v>
      </c>
      <c r="L12" s="3">
        <f>223.8+75.94</f>
        <v>299.74</v>
      </c>
      <c r="M12" s="3">
        <f>427.65+560.42</f>
        <v>988.06999999999994</v>
      </c>
      <c r="N12" s="2">
        <f t="shared" si="3"/>
        <v>9333.75</v>
      </c>
      <c r="O12" s="52">
        <f t="shared" si="1"/>
        <v>10621.56</v>
      </c>
      <c r="P12" s="48">
        <f t="shared" si="2"/>
        <v>4871.58</v>
      </c>
      <c r="Q12" s="20"/>
      <c r="R12" s="43">
        <v>4871.58</v>
      </c>
    </row>
    <row r="13" spans="1:18" x14ac:dyDescent="0.25">
      <c r="A13" s="35">
        <v>7</v>
      </c>
      <c r="B13" s="44" t="s">
        <v>81</v>
      </c>
      <c r="C13" s="14">
        <v>3913.2</v>
      </c>
      <c r="D13" s="22"/>
      <c r="E13" s="22"/>
      <c r="F13" s="22"/>
      <c r="G13" s="22"/>
      <c r="H13" s="22"/>
      <c r="I13" s="25"/>
      <c r="J13" s="25"/>
      <c r="K13" s="12">
        <f t="shared" si="0"/>
        <v>3913.2</v>
      </c>
      <c r="L13" s="3"/>
      <c r="M13" s="3">
        <v>358.17</v>
      </c>
      <c r="N13" s="2">
        <f t="shared" si="3"/>
        <v>28.919999999999618</v>
      </c>
      <c r="O13" s="52">
        <f t="shared" si="1"/>
        <v>387.08999999999963</v>
      </c>
      <c r="P13" s="48">
        <f t="shared" si="2"/>
        <v>3526.11</v>
      </c>
      <c r="Q13" s="20"/>
      <c r="R13" s="43">
        <v>3526.11</v>
      </c>
    </row>
    <row r="14" spans="1:18" x14ac:dyDescent="0.25">
      <c r="A14" s="35">
        <v>8</v>
      </c>
      <c r="B14" s="44" t="s">
        <v>2</v>
      </c>
      <c r="C14" s="14">
        <f>19233.18+10097.42</f>
        <v>29330.6</v>
      </c>
      <c r="D14" s="22">
        <f>1923.32+7693.27</f>
        <v>9616.59</v>
      </c>
      <c r="E14" s="22"/>
      <c r="F14" s="22"/>
      <c r="G14" s="22"/>
      <c r="H14" s="22"/>
      <c r="I14" s="25"/>
      <c r="J14" s="25"/>
      <c r="K14" s="12">
        <f t="shared" si="0"/>
        <v>38947.19</v>
      </c>
      <c r="L14" s="3">
        <v>9530.0300000000007</v>
      </c>
      <c r="M14" s="3">
        <v>988.07</v>
      </c>
      <c r="N14" s="2">
        <f>K14-L14-M14-R14</f>
        <v>1197.8600000000042</v>
      </c>
      <c r="O14" s="52">
        <f t="shared" si="1"/>
        <v>11715.960000000005</v>
      </c>
      <c r="P14" s="48">
        <f t="shared" si="2"/>
        <v>27231.229999999996</v>
      </c>
      <c r="Q14" s="20"/>
      <c r="R14" s="43">
        <v>27231.23</v>
      </c>
    </row>
    <row r="15" spans="1:18" x14ac:dyDescent="0.25">
      <c r="A15" s="35">
        <v>9</v>
      </c>
      <c r="B15" s="44" t="s">
        <v>3</v>
      </c>
      <c r="C15" s="14">
        <f>19233.18+7270.14</f>
        <v>26503.32</v>
      </c>
      <c r="D15" s="22">
        <v>7693.27</v>
      </c>
      <c r="E15" s="22"/>
      <c r="F15" s="39"/>
      <c r="G15" s="22"/>
      <c r="H15" s="22"/>
      <c r="I15" s="25"/>
      <c r="J15" s="25"/>
      <c r="K15" s="12">
        <f t="shared" ref="K15:K26" si="8">SUM(C15:I15)</f>
        <v>34196.589999999997</v>
      </c>
      <c r="L15" s="3">
        <v>8223.61</v>
      </c>
      <c r="M15" s="3">
        <v>988.07</v>
      </c>
      <c r="N15" s="2">
        <f t="shared" ref="N15:N39" si="9">K15-L15-M15-R15</f>
        <v>83.559999999997672</v>
      </c>
      <c r="O15" s="52">
        <f t="shared" si="1"/>
        <v>9295.239999999998</v>
      </c>
      <c r="P15" s="48">
        <f t="shared" si="2"/>
        <v>24901.35</v>
      </c>
      <c r="Q15" s="20"/>
      <c r="R15" s="43">
        <v>24901.35</v>
      </c>
    </row>
    <row r="16" spans="1:18" x14ac:dyDescent="0.25">
      <c r="A16" s="35">
        <v>10</v>
      </c>
      <c r="B16" s="44" t="s">
        <v>4</v>
      </c>
      <c r="C16" s="14">
        <f>5222.18+903.77</f>
        <v>6125.9500000000007</v>
      </c>
      <c r="D16" s="22">
        <v>1729.86</v>
      </c>
      <c r="E16" s="22"/>
      <c r="F16" s="22"/>
      <c r="G16" s="22"/>
      <c r="H16" s="22"/>
      <c r="I16" s="25"/>
      <c r="J16" s="25"/>
      <c r="K16" s="12">
        <f t="shared" si="8"/>
        <v>7855.81</v>
      </c>
      <c r="L16" s="3">
        <v>1003.76</v>
      </c>
      <c r="M16" s="3">
        <v>901.31</v>
      </c>
      <c r="N16" s="2">
        <f t="shared" si="9"/>
        <v>77.059999999999491</v>
      </c>
      <c r="O16" s="52">
        <f t="shared" si="1"/>
        <v>1982.1299999999994</v>
      </c>
      <c r="P16" s="48">
        <f t="shared" si="2"/>
        <v>5873.6800000000012</v>
      </c>
      <c r="Q16" s="20"/>
      <c r="R16" s="43">
        <v>5873.68</v>
      </c>
    </row>
    <row r="17" spans="1:18" x14ac:dyDescent="0.25">
      <c r="A17" s="35">
        <v>11</v>
      </c>
      <c r="B17" s="44" t="s">
        <v>5</v>
      </c>
      <c r="C17" s="14">
        <f>9555.83+2680.36</f>
        <v>12236.19</v>
      </c>
      <c r="D17" s="22">
        <v>4551.33</v>
      </c>
      <c r="E17" s="22"/>
      <c r="F17" s="22"/>
      <c r="G17" s="22"/>
      <c r="H17" s="22"/>
      <c r="I17" s="25"/>
      <c r="J17" s="25"/>
      <c r="K17" s="12">
        <f t="shared" si="8"/>
        <v>16787.52</v>
      </c>
      <c r="L17" s="3">
        <v>3279.71</v>
      </c>
      <c r="M17" s="3">
        <v>988.07</v>
      </c>
      <c r="N17" s="2">
        <f t="shared" si="9"/>
        <v>747.14000000000124</v>
      </c>
      <c r="O17" s="52">
        <f t="shared" si="1"/>
        <v>5014.920000000001</v>
      </c>
      <c r="P17" s="48">
        <f t="shared" si="2"/>
        <v>11772.599999999999</v>
      </c>
      <c r="Q17" s="20"/>
      <c r="R17" s="43">
        <v>11772.6</v>
      </c>
    </row>
    <row r="18" spans="1:18" x14ac:dyDescent="0.25">
      <c r="A18" s="35">
        <v>12</v>
      </c>
      <c r="B18" s="44" t="s">
        <v>69</v>
      </c>
      <c r="C18" s="14">
        <f>2794.3+83.83</f>
        <v>2878.13</v>
      </c>
      <c r="D18" s="22"/>
      <c r="E18" s="22"/>
      <c r="F18" s="22">
        <f>1051.98+530.66+178.71+59.57</f>
        <v>1820.9199999999998</v>
      </c>
      <c r="G18" s="22"/>
      <c r="H18" s="22">
        <v>1753.3</v>
      </c>
      <c r="I18" s="25"/>
      <c r="J18" s="25"/>
      <c r="K18" s="12">
        <f t="shared" ref="K18" si="10">SUM(C18:I18)</f>
        <v>6452.35</v>
      </c>
      <c r="L18" s="3"/>
      <c r="M18" s="3">
        <f>328.97+105.19</f>
        <v>434.16</v>
      </c>
      <c r="N18" s="2">
        <f t="shared" ref="N18" si="11">K18-L18-M18-R18</f>
        <v>3240.1000000000004</v>
      </c>
      <c r="O18" s="52">
        <f t="shared" ref="O18" si="12">SUM(L18:N18)</f>
        <v>3674.26</v>
      </c>
      <c r="P18" s="48">
        <f t="shared" ref="P18" si="13">SUM(K18-O18)</f>
        <v>2778.09</v>
      </c>
      <c r="Q18" s="20"/>
      <c r="R18" s="43">
        <v>2778.09</v>
      </c>
    </row>
    <row r="19" spans="1:18" x14ac:dyDescent="0.25">
      <c r="A19" s="35">
        <v>13</v>
      </c>
      <c r="B19" s="44" t="s">
        <v>6</v>
      </c>
      <c r="C19" s="14">
        <v>5664.35</v>
      </c>
      <c r="D19" s="22"/>
      <c r="E19" s="22"/>
      <c r="F19" s="22"/>
      <c r="G19" s="22"/>
      <c r="H19" s="22"/>
      <c r="I19" s="25"/>
      <c r="J19" s="25"/>
      <c r="K19" s="12">
        <f t="shared" si="8"/>
        <v>5664.35</v>
      </c>
      <c r="L19" s="3">
        <v>257.55</v>
      </c>
      <c r="M19" s="3">
        <v>594.51</v>
      </c>
      <c r="N19" s="2">
        <f t="shared" si="9"/>
        <v>246.01999999999953</v>
      </c>
      <c r="O19" s="52">
        <f t="shared" si="1"/>
        <v>1098.0799999999995</v>
      </c>
      <c r="P19" s="48">
        <f t="shared" si="2"/>
        <v>4566.2700000000004</v>
      </c>
      <c r="Q19" s="20"/>
      <c r="R19" s="43">
        <v>4566.2700000000004</v>
      </c>
    </row>
    <row r="20" spans="1:18" x14ac:dyDescent="0.25">
      <c r="A20" s="35">
        <v>14</v>
      </c>
      <c r="B20" s="44" t="s">
        <v>72</v>
      </c>
      <c r="C20" s="14">
        <f>4399.45+87.99</f>
        <v>4487.4399999999996</v>
      </c>
      <c r="D20" s="22"/>
      <c r="E20" s="22"/>
      <c r="F20" s="22">
        <f>788.93+262.98+106.24+35.41</f>
        <v>1193.56</v>
      </c>
      <c r="G20" s="22">
        <f>1577.86+525.95+212.49+70.83</f>
        <v>2387.13</v>
      </c>
      <c r="H20" s="22"/>
      <c r="I20" s="25"/>
      <c r="J20" s="25"/>
      <c r="K20" s="12">
        <f t="shared" si="8"/>
        <v>8068.13</v>
      </c>
      <c r="L20" s="3"/>
      <c r="M20" s="3">
        <f>517.95+78.89</f>
        <v>596.84</v>
      </c>
      <c r="N20" s="2">
        <f t="shared" ref="N20" si="14">K20-L20-M20-R20</f>
        <v>2313.4899999999998</v>
      </c>
      <c r="O20" s="52">
        <f t="shared" ref="O20" si="15">SUM(L20:N20)</f>
        <v>2910.33</v>
      </c>
      <c r="P20" s="48">
        <f t="shared" ref="P20" si="16">SUM(K20-O20)</f>
        <v>5157.8</v>
      </c>
      <c r="Q20" s="20"/>
      <c r="R20" s="43">
        <v>5157.8</v>
      </c>
    </row>
    <row r="21" spans="1:18" x14ac:dyDescent="0.25">
      <c r="A21" s="35">
        <v>15</v>
      </c>
      <c r="B21" s="44" t="s">
        <v>7</v>
      </c>
      <c r="C21" s="14">
        <f>18412.67+12548.23</f>
        <v>30960.899999999998</v>
      </c>
      <c r="D21" s="22">
        <v>24857.11</v>
      </c>
      <c r="E21" s="22"/>
      <c r="F21" s="22">
        <f>8092.9+2697.63+1826.22+608.74</f>
        <v>13225.489999999998</v>
      </c>
      <c r="G21" s="22"/>
      <c r="H21" s="22"/>
      <c r="I21" s="25"/>
      <c r="J21" s="25"/>
      <c r="K21" s="12">
        <f t="shared" si="8"/>
        <v>69043.5</v>
      </c>
      <c r="L21" s="3">
        <f>11642.71+9947.29</f>
        <v>21590</v>
      </c>
      <c r="M21" s="3">
        <f>724.58+263.49</f>
        <v>988.07</v>
      </c>
      <c r="N21" s="2">
        <f t="shared" si="9"/>
        <v>20437.48</v>
      </c>
      <c r="O21" s="52">
        <f t="shared" si="1"/>
        <v>43015.55</v>
      </c>
      <c r="P21" s="48">
        <f t="shared" si="2"/>
        <v>26027.949999999997</v>
      </c>
      <c r="Q21" s="20"/>
      <c r="R21" s="43">
        <v>26027.95</v>
      </c>
    </row>
    <row r="22" spans="1:18" x14ac:dyDescent="0.25">
      <c r="A22" s="35">
        <v>16</v>
      </c>
      <c r="B22" s="44" t="s">
        <v>8</v>
      </c>
      <c r="C22" s="14">
        <f>19233.18+7385.54</f>
        <v>26618.720000000001</v>
      </c>
      <c r="D22" s="22">
        <v>3846.64</v>
      </c>
      <c r="E22" s="22"/>
      <c r="F22" s="22"/>
      <c r="G22" s="22"/>
      <c r="H22" s="22"/>
      <c r="I22" s="25"/>
      <c r="J22" s="25"/>
      <c r="K22" s="12">
        <f t="shared" si="8"/>
        <v>30465.360000000001</v>
      </c>
      <c r="L22" s="3">
        <v>7145.39</v>
      </c>
      <c r="M22" s="3">
        <v>988.07</v>
      </c>
      <c r="N22" s="2">
        <f t="shared" si="9"/>
        <v>1239.7200000000012</v>
      </c>
      <c r="O22" s="52">
        <f t="shared" si="1"/>
        <v>9373.18</v>
      </c>
      <c r="P22" s="48">
        <f t="shared" si="2"/>
        <v>21092.18</v>
      </c>
      <c r="Q22" s="20"/>
      <c r="R22" s="43">
        <v>21092.18</v>
      </c>
    </row>
    <row r="23" spans="1:18" x14ac:dyDescent="0.25">
      <c r="A23" s="35">
        <v>17</v>
      </c>
      <c r="B23" s="44" t="s">
        <v>9</v>
      </c>
      <c r="C23" s="14">
        <v>12387.6</v>
      </c>
      <c r="D23" s="22"/>
      <c r="E23" s="22"/>
      <c r="F23" s="22"/>
      <c r="G23" s="22"/>
      <c r="H23" s="22"/>
      <c r="I23" s="25"/>
      <c r="J23" s="25"/>
      <c r="K23" s="12">
        <f t="shared" si="8"/>
        <v>12387.6</v>
      </c>
      <c r="L23" s="3">
        <v>2174</v>
      </c>
      <c r="M23" s="3">
        <v>988.07</v>
      </c>
      <c r="N23" s="2">
        <f t="shared" si="9"/>
        <v>2229.6500000000005</v>
      </c>
      <c r="O23" s="52">
        <f t="shared" si="1"/>
        <v>5391.7200000000012</v>
      </c>
      <c r="P23" s="48">
        <f t="shared" si="2"/>
        <v>6995.8799999999992</v>
      </c>
      <c r="Q23" s="20"/>
      <c r="R23" s="43">
        <v>6995.88</v>
      </c>
    </row>
    <row r="24" spans="1:18" x14ac:dyDescent="0.25">
      <c r="A24" s="35">
        <v>18</v>
      </c>
      <c r="B24" s="44" t="s">
        <v>10</v>
      </c>
      <c r="C24" s="14">
        <v>13065.04</v>
      </c>
      <c r="D24" s="22"/>
      <c r="E24" s="22"/>
      <c r="F24" s="22"/>
      <c r="G24" s="22"/>
      <c r="H24" s="22"/>
      <c r="I24" s="25"/>
      <c r="J24" s="25"/>
      <c r="K24" s="12">
        <f t="shared" si="8"/>
        <v>13065.04</v>
      </c>
      <c r="L24" s="3">
        <v>2360.3000000000002</v>
      </c>
      <c r="M24" s="3">
        <v>988.07</v>
      </c>
      <c r="N24" s="2">
        <f t="shared" si="9"/>
        <v>454.83000000000175</v>
      </c>
      <c r="O24" s="52">
        <f t="shared" si="1"/>
        <v>3803.2000000000021</v>
      </c>
      <c r="P24" s="48">
        <f>SUM(K24-O24)</f>
        <v>9261.8399999999983</v>
      </c>
      <c r="Q24" s="20"/>
      <c r="R24" s="43">
        <v>9261.84</v>
      </c>
    </row>
    <row r="25" spans="1:18" x14ac:dyDescent="0.25">
      <c r="A25" s="35">
        <v>19</v>
      </c>
      <c r="B25" s="44" t="s">
        <v>11</v>
      </c>
      <c r="C25" s="14">
        <v>13280.96</v>
      </c>
      <c r="D25" s="22"/>
      <c r="E25" s="22"/>
      <c r="F25" s="22"/>
      <c r="G25" s="22"/>
      <c r="H25" s="22"/>
      <c r="I25" s="25"/>
      <c r="J25" s="25"/>
      <c r="K25" s="12">
        <f t="shared" si="8"/>
        <v>13280.96</v>
      </c>
      <c r="L25" s="3">
        <v>2471.81</v>
      </c>
      <c r="M25" s="3">
        <v>988.07</v>
      </c>
      <c r="N25" s="2">
        <f t="shared" si="9"/>
        <v>9.3500000000003638</v>
      </c>
      <c r="O25" s="52">
        <f t="shared" si="1"/>
        <v>3469.2300000000005</v>
      </c>
      <c r="P25" s="48">
        <f t="shared" si="2"/>
        <v>9811.73</v>
      </c>
      <c r="Q25" s="20"/>
      <c r="R25" s="43">
        <v>9811.73</v>
      </c>
    </row>
    <row r="26" spans="1:18" x14ac:dyDescent="0.25">
      <c r="A26" s="35">
        <v>20</v>
      </c>
      <c r="B26" s="44" t="s">
        <v>12</v>
      </c>
      <c r="C26" s="14">
        <v>11614.81</v>
      </c>
      <c r="D26" s="22"/>
      <c r="E26" s="22"/>
      <c r="F26" s="22"/>
      <c r="G26" s="22"/>
      <c r="H26" s="22"/>
      <c r="I26" s="25"/>
      <c r="J26" s="25"/>
      <c r="K26" s="12">
        <f t="shared" si="8"/>
        <v>11614.81</v>
      </c>
      <c r="L26" s="3">
        <v>2013.62</v>
      </c>
      <c r="M26" s="3">
        <v>988.07</v>
      </c>
      <c r="N26" s="2">
        <f t="shared" si="9"/>
        <v>299.29999999999927</v>
      </c>
      <c r="O26" s="52">
        <f t="shared" si="1"/>
        <v>3300.9899999999993</v>
      </c>
      <c r="P26" s="48">
        <f t="shared" si="2"/>
        <v>8313.82</v>
      </c>
      <c r="Q26" s="20"/>
      <c r="R26" s="43">
        <v>8313.82</v>
      </c>
    </row>
    <row r="27" spans="1:18" x14ac:dyDescent="0.25">
      <c r="A27" s="35">
        <v>21</v>
      </c>
      <c r="B27" s="44" t="s">
        <v>50</v>
      </c>
      <c r="C27" s="14">
        <v>8828.39</v>
      </c>
      <c r="D27" s="22"/>
      <c r="E27" s="22"/>
      <c r="F27" s="22"/>
      <c r="G27" s="22"/>
      <c r="H27" s="22"/>
      <c r="I27" s="25"/>
      <c r="J27" s="25"/>
      <c r="K27" s="12">
        <f>SUM(C27:I27)</f>
        <v>8828.39</v>
      </c>
      <c r="L27" s="3">
        <v>1247.3599999999999</v>
      </c>
      <c r="M27" s="3">
        <v>988.07</v>
      </c>
      <c r="N27" s="2">
        <f t="shared" ref="N27" si="17">K27-L27-M27-R27</f>
        <v>52.850000000000364</v>
      </c>
      <c r="O27" s="52">
        <f t="shared" ref="O27" si="18">SUM(L27:N27)</f>
        <v>2288.2800000000002</v>
      </c>
      <c r="P27" s="48">
        <f>SUM(K27-O27)</f>
        <v>6540.1099999999988</v>
      </c>
      <c r="Q27" s="20"/>
      <c r="R27" s="43">
        <v>6540.11</v>
      </c>
    </row>
    <row r="28" spans="1:18" x14ac:dyDescent="0.25">
      <c r="A28" s="35">
        <v>22</v>
      </c>
      <c r="B28" s="44" t="s">
        <v>83</v>
      </c>
      <c r="C28" s="14">
        <v>3261</v>
      </c>
      <c r="D28" s="22"/>
      <c r="E28" s="22"/>
      <c r="F28" s="22"/>
      <c r="G28" s="22"/>
      <c r="H28" s="22"/>
      <c r="I28" s="25"/>
      <c r="J28" s="25"/>
      <c r="K28" s="12">
        <f>SUM(C28:I28)</f>
        <v>3261</v>
      </c>
      <c r="L28" s="3"/>
      <c r="M28" s="3">
        <v>279.89999999999998</v>
      </c>
      <c r="N28" s="2">
        <f t="shared" ref="N28" si="19">K28-L28-M28-R28</f>
        <v>210.82999999999993</v>
      </c>
      <c r="O28" s="52">
        <f t="shared" ref="O28" si="20">SUM(L28:N28)</f>
        <v>490.7299999999999</v>
      </c>
      <c r="P28" s="48">
        <f>SUM(K28-O28)</f>
        <v>2770.27</v>
      </c>
      <c r="Q28" s="20"/>
      <c r="R28" s="43">
        <v>2770.27</v>
      </c>
    </row>
    <row r="29" spans="1:18" x14ac:dyDescent="0.25">
      <c r="A29" s="35">
        <v>23</v>
      </c>
      <c r="B29" s="44" t="s">
        <v>13</v>
      </c>
      <c r="C29" s="14">
        <f>2069.76+538.14</f>
        <v>2607.9</v>
      </c>
      <c r="D29" s="22"/>
      <c r="E29" s="22"/>
      <c r="F29" s="22">
        <f>2224.71+741.57+367.37+122.46</f>
        <v>3456.11</v>
      </c>
      <c r="G29" s="22">
        <f>1483.14+494.38+244.91+81.64</f>
        <v>2304.0699999999997</v>
      </c>
      <c r="H29" s="22">
        <v>2224.71</v>
      </c>
      <c r="I29" s="25"/>
      <c r="J29" s="25"/>
      <c r="K29" s="12">
        <f>SUM(C29:I29)</f>
        <v>10592.79</v>
      </c>
      <c r="L29" s="3"/>
      <c r="M29" s="3">
        <f>405.92+244.54</f>
        <v>650.46</v>
      </c>
      <c r="N29" s="2">
        <f t="shared" si="9"/>
        <v>8217.6000000000022</v>
      </c>
      <c r="O29" s="52">
        <f t="shared" si="1"/>
        <v>8868.0600000000013</v>
      </c>
      <c r="P29" s="48">
        <f>SUM(K29-O29)</f>
        <v>1724.7299999999996</v>
      </c>
      <c r="Q29" s="20"/>
      <c r="R29" s="43">
        <v>1724.73</v>
      </c>
    </row>
    <row r="30" spans="1:18" x14ac:dyDescent="0.25">
      <c r="A30" s="35">
        <v>24</v>
      </c>
      <c r="B30" s="44" t="s">
        <v>73</v>
      </c>
      <c r="C30" s="14">
        <v>5385.46</v>
      </c>
      <c r="D30" s="22"/>
      <c r="E30" s="22"/>
      <c r="F30" s="22"/>
      <c r="G30" s="22"/>
      <c r="H30" s="22"/>
      <c r="I30" s="25"/>
      <c r="J30" s="25"/>
      <c r="K30" s="12">
        <f>SUM(C30:I30)</f>
        <v>5385.46</v>
      </c>
      <c r="L30" s="3">
        <v>143.72</v>
      </c>
      <c r="M30" s="3">
        <v>555.46</v>
      </c>
      <c r="N30" s="2">
        <f t="shared" ref="N30:N31" si="21">K30-L30-M30-R30</f>
        <v>52.849999999999454</v>
      </c>
      <c r="O30" s="52">
        <f t="shared" ref="O30:O31" si="22">SUM(L30:N30)</f>
        <v>752.02999999999952</v>
      </c>
      <c r="P30" s="48">
        <f>SUM(K30-O30)</f>
        <v>4633.43</v>
      </c>
      <c r="Q30" s="20"/>
      <c r="R30" s="43">
        <v>4633.43</v>
      </c>
    </row>
    <row r="31" spans="1:18" x14ac:dyDescent="0.25">
      <c r="A31" s="35">
        <v>25</v>
      </c>
      <c r="B31" s="44" t="s">
        <v>74</v>
      </c>
      <c r="C31" s="14">
        <v>5279.34</v>
      </c>
      <c r="D31" s="22"/>
      <c r="E31" s="22"/>
      <c r="F31" s="22"/>
      <c r="G31" s="22"/>
      <c r="H31" s="22"/>
      <c r="I31" s="25"/>
      <c r="J31" s="25"/>
      <c r="K31" s="12">
        <f>SUM(C31:I31)</f>
        <v>5279.34</v>
      </c>
      <c r="L31" s="3">
        <v>100.41</v>
      </c>
      <c r="M31" s="3">
        <v>540.6</v>
      </c>
      <c r="N31" s="2">
        <f t="shared" si="21"/>
        <v>52.850000000000364</v>
      </c>
      <c r="O31" s="52">
        <f t="shared" si="22"/>
        <v>693.86000000000035</v>
      </c>
      <c r="P31" s="48">
        <f>SUM(K31-O31)</f>
        <v>4585.4799999999996</v>
      </c>
      <c r="Q31" s="20"/>
      <c r="R31" s="43">
        <v>4585.4799999999996</v>
      </c>
    </row>
    <row r="32" spans="1:18" x14ac:dyDescent="0.25">
      <c r="A32" s="35">
        <v>26</v>
      </c>
      <c r="B32" s="44" t="s">
        <v>14</v>
      </c>
      <c r="C32" s="14">
        <f>9461.21+1930.09</f>
        <v>11391.3</v>
      </c>
      <c r="D32" s="22">
        <v>1892.24</v>
      </c>
      <c r="E32" s="22"/>
      <c r="F32" s="22"/>
      <c r="G32" s="22"/>
      <c r="H32" s="22"/>
      <c r="I32" s="25"/>
      <c r="J32" s="25"/>
      <c r="K32" s="12">
        <f>SUM(C32:I32)</f>
        <v>13283.539999999999</v>
      </c>
      <c r="L32" s="3">
        <v>2472.52</v>
      </c>
      <c r="M32" s="3">
        <v>988.07</v>
      </c>
      <c r="N32" s="2">
        <f t="shared" si="9"/>
        <v>81.349999999998545</v>
      </c>
      <c r="O32" s="52">
        <f t="shared" si="1"/>
        <v>3541.9399999999987</v>
      </c>
      <c r="P32" s="48">
        <f t="shared" si="2"/>
        <v>9741.6</v>
      </c>
      <c r="Q32" s="20"/>
      <c r="R32" s="43">
        <v>9741.6</v>
      </c>
    </row>
    <row r="33" spans="1:18" x14ac:dyDescent="0.25">
      <c r="A33" s="35">
        <v>27</v>
      </c>
      <c r="B33" s="44" t="s">
        <v>15</v>
      </c>
      <c r="C33" s="14">
        <f>19815.96+6895.95</f>
        <v>26711.91</v>
      </c>
      <c r="D33" s="22">
        <v>3963.19</v>
      </c>
      <c r="E33" s="22"/>
      <c r="F33" s="22"/>
      <c r="G33" s="22"/>
      <c r="H33" s="22"/>
      <c r="I33" s="25"/>
      <c r="J33" s="25"/>
      <c r="K33" s="12">
        <f t="shared" ref="K33:K39" si="23">SUM(C33:I33)</f>
        <v>30675.1</v>
      </c>
      <c r="L33" s="3">
        <v>7255.2</v>
      </c>
      <c r="M33" s="3">
        <v>988.07</v>
      </c>
      <c r="N33" s="2">
        <f t="shared" si="9"/>
        <v>246.0199999999968</v>
      </c>
      <c r="O33" s="52">
        <f t="shared" si="1"/>
        <v>8489.2899999999972</v>
      </c>
      <c r="P33" s="48">
        <f t="shared" si="2"/>
        <v>22185.81</v>
      </c>
      <c r="Q33" s="20"/>
      <c r="R33" s="43">
        <v>22185.81</v>
      </c>
    </row>
    <row r="34" spans="1:18" x14ac:dyDescent="0.25">
      <c r="A34" s="35">
        <v>28</v>
      </c>
      <c r="B34" s="44" t="s">
        <v>51</v>
      </c>
      <c r="C34" s="14">
        <f>8737.27+1677.56</f>
        <v>10414.83</v>
      </c>
      <c r="D34" s="22">
        <v>1747.45</v>
      </c>
      <c r="E34" s="22"/>
      <c r="F34" s="22"/>
      <c r="G34" s="22"/>
      <c r="H34" s="22"/>
      <c r="I34" s="25"/>
      <c r="J34" s="25"/>
      <c r="K34" s="12">
        <f t="shared" si="23"/>
        <v>12162.28</v>
      </c>
      <c r="L34" s="3">
        <v>2164.1799999999998</v>
      </c>
      <c r="M34" s="3">
        <v>988.07</v>
      </c>
      <c r="N34" s="2">
        <f t="shared" si="9"/>
        <v>2362.8100000000004</v>
      </c>
      <c r="O34" s="52">
        <f t="shared" si="1"/>
        <v>5515.06</v>
      </c>
      <c r="P34" s="48">
        <f t="shared" si="2"/>
        <v>6647.22</v>
      </c>
      <c r="Q34" s="20"/>
      <c r="R34" s="43">
        <v>6647.22</v>
      </c>
    </row>
    <row r="35" spans="1:18" x14ac:dyDescent="0.25">
      <c r="A35" s="35">
        <v>29</v>
      </c>
      <c r="B35" s="44" t="s">
        <v>16</v>
      </c>
      <c r="C35" s="14">
        <f>8480.31+1356.62</f>
        <v>9836.93</v>
      </c>
      <c r="D35" s="22">
        <f>1696.06+1128.78</f>
        <v>2824.84</v>
      </c>
      <c r="E35" s="22"/>
      <c r="F35" s="22"/>
      <c r="G35" s="22"/>
      <c r="H35" s="22"/>
      <c r="I35" s="25"/>
      <c r="J35" s="25"/>
      <c r="K35" s="12">
        <f t="shared" si="23"/>
        <v>12661.77</v>
      </c>
      <c r="L35" s="3">
        <v>2197.2600000000002</v>
      </c>
      <c r="M35" s="3">
        <v>988.07</v>
      </c>
      <c r="N35" s="2">
        <f t="shared" si="9"/>
        <v>3006.38</v>
      </c>
      <c r="O35" s="52">
        <f t="shared" si="1"/>
        <v>6191.7100000000009</v>
      </c>
      <c r="P35" s="48">
        <f>SUM(K35-O35)</f>
        <v>6470.0599999999995</v>
      </c>
      <c r="Q35" s="20"/>
      <c r="R35" s="43">
        <v>6470.06</v>
      </c>
    </row>
    <row r="36" spans="1:18" x14ac:dyDescent="0.25">
      <c r="A36" s="35">
        <v>30</v>
      </c>
      <c r="B36" s="44" t="s">
        <v>77</v>
      </c>
      <c r="C36" s="14">
        <v>6881.18</v>
      </c>
      <c r="D36" s="22">
        <v>1376.24</v>
      </c>
      <c r="E36" s="22"/>
      <c r="F36" s="22"/>
      <c r="G36" s="22"/>
      <c r="H36" s="22"/>
      <c r="I36" s="25"/>
      <c r="J36" s="25"/>
      <c r="K36" s="12">
        <f t="shared" si="23"/>
        <v>8257.42</v>
      </c>
      <c r="L36" s="3">
        <v>994.46</v>
      </c>
      <c r="M36" s="3">
        <v>957.54</v>
      </c>
      <c r="N36" s="2">
        <f t="shared" si="9"/>
        <v>440.69000000000051</v>
      </c>
      <c r="O36" s="52">
        <f t="shared" si="1"/>
        <v>2392.6900000000005</v>
      </c>
      <c r="P36" s="48">
        <f>SUM(K36-O36)</f>
        <v>5864.73</v>
      </c>
      <c r="Q36" s="20"/>
      <c r="R36" s="43">
        <v>5864.73</v>
      </c>
    </row>
    <row r="37" spans="1:18" x14ac:dyDescent="0.25">
      <c r="A37" s="35">
        <v>31</v>
      </c>
      <c r="B37" s="44" t="s">
        <v>48</v>
      </c>
      <c r="C37" s="14">
        <v>4668.42</v>
      </c>
      <c r="D37" s="22"/>
      <c r="E37" s="22"/>
      <c r="F37" s="22"/>
      <c r="G37" s="22"/>
      <c r="H37" s="22"/>
      <c r="I37" s="25"/>
      <c r="J37" s="25"/>
      <c r="K37" s="12">
        <f t="shared" si="23"/>
        <v>4668.42</v>
      </c>
      <c r="L37" s="3"/>
      <c r="M37" s="3">
        <v>455.08</v>
      </c>
      <c r="N37" s="2">
        <f t="shared" ref="N37" si="24">K37-L37-M37-R37</f>
        <v>70.960000000000036</v>
      </c>
      <c r="O37" s="52">
        <f t="shared" ref="O37" si="25">SUM(L37:N37)</f>
        <v>526.04</v>
      </c>
      <c r="P37" s="48">
        <f t="shared" ref="P37" si="26">SUM(K37-O37)</f>
        <v>4142.38</v>
      </c>
      <c r="Q37" s="20"/>
      <c r="R37" s="43">
        <v>4142.38</v>
      </c>
    </row>
    <row r="38" spans="1:18" x14ac:dyDescent="0.25">
      <c r="A38" s="35">
        <v>32</v>
      </c>
      <c r="B38" s="44" t="s">
        <v>17</v>
      </c>
      <c r="C38" s="14">
        <f>5711.42+1076.37</f>
        <v>6787.79</v>
      </c>
      <c r="D38" s="22">
        <v>1015.89</v>
      </c>
      <c r="E38" s="22"/>
      <c r="F38" s="22"/>
      <c r="G38" s="22"/>
      <c r="H38" s="22"/>
      <c r="I38" s="25"/>
      <c r="J38" s="25"/>
      <c r="K38" s="12">
        <f t="shared" si="23"/>
        <v>7803.68</v>
      </c>
      <c r="L38" s="3">
        <v>991.43</v>
      </c>
      <c r="M38" s="3">
        <v>894.01</v>
      </c>
      <c r="N38" s="2">
        <f t="shared" si="9"/>
        <v>893.5</v>
      </c>
      <c r="O38" s="52">
        <f t="shared" si="1"/>
        <v>2778.94</v>
      </c>
      <c r="P38" s="48">
        <f t="shared" si="2"/>
        <v>5024.74</v>
      </c>
      <c r="Q38" s="20"/>
      <c r="R38" s="43">
        <v>5024.74</v>
      </c>
    </row>
    <row r="39" spans="1:18" x14ac:dyDescent="0.25">
      <c r="A39" s="35">
        <v>33</v>
      </c>
      <c r="B39" s="44" t="s">
        <v>18</v>
      </c>
      <c r="C39" s="14">
        <f>20214.26+7519.7</f>
        <v>27733.96</v>
      </c>
      <c r="D39" s="22">
        <v>4042.85</v>
      </c>
      <c r="E39" s="22"/>
      <c r="F39" s="22"/>
      <c r="G39" s="22"/>
      <c r="H39" s="22"/>
      <c r="I39" s="25"/>
      <c r="J39" s="25"/>
      <c r="K39" s="12">
        <f t="shared" si="23"/>
        <v>31776.809999999998</v>
      </c>
      <c r="L39" s="3">
        <v>7453.9</v>
      </c>
      <c r="M39" s="3">
        <v>988.07</v>
      </c>
      <c r="N39" s="2">
        <f t="shared" si="9"/>
        <v>102.34999999999491</v>
      </c>
      <c r="O39" s="52">
        <f t="shared" si="1"/>
        <v>8544.3199999999943</v>
      </c>
      <c r="P39" s="48">
        <f t="shared" si="2"/>
        <v>23232.490000000005</v>
      </c>
      <c r="Q39" s="20"/>
      <c r="R39" s="43">
        <v>23232.49</v>
      </c>
    </row>
    <row r="40" spans="1:18" x14ac:dyDescent="0.25">
      <c r="A40" s="35">
        <v>34</v>
      </c>
      <c r="B40" s="45" t="s">
        <v>67</v>
      </c>
      <c r="C40" s="27">
        <f>4623.87+138.72</f>
        <v>4762.59</v>
      </c>
      <c r="D40" s="23"/>
      <c r="E40" s="23"/>
      <c r="F40" s="23">
        <f>837.3+279.1+108.82+36.27</f>
        <v>1261.49</v>
      </c>
      <c r="G40" s="22"/>
      <c r="H40" s="22">
        <v>2511.9</v>
      </c>
      <c r="I40" s="25"/>
      <c r="J40" s="25"/>
      <c r="K40" s="28">
        <f t="shared" ref="K40" si="27">SUM(C40:I40)</f>
        <v>8535.98</v>
      </c>
      <c r="L40" s="29"/>
      <c r="M40" s="29">
        <f>561.14+83.73</f>
        <v>644.87</v>
      </c>
      <c r="N40" s="30">
        <f t="shared" ref="N40" si="28">K40-L40-M40-R40</f>
        <v>3781.2299999999996</v>
      </c>
      <c r="O40" s="52">
        <f t="shared" ref="O40" si="29">SUM(L40:N40)</f>
        <v>4426.0999999999995</v>
      </c>
      <c r="P40" s="49">
        <f t="shared" ref="P40" si="30">SUM(K40-O40)</f>
        <v>4109.88</v>
      </c>
      <c r="Q40" s="20"/>
      <c r="R40" s="43">
        <v>4109.88</v>
      </c>
    </row>
    <row r="41" spans="1:18" x14ac:dyDescent="0.25">
      <c r="A41" s="35">
        <v>35</v>
      </c>
      <c r="B41" s="44" t="s">
        <v>19</v>
      </c>
      <c r="C41" s="14">
        <f>4058.44+1336.81</f>
        <v>5395.25</v>
      </c>
      <c r="D41" s="22">
        <f>405.85+677.27</f>
        <v>1083.1199999999999</v>
      </c>
      <c r="E41" s="22"/>
      <c r="F41" s="22">
        <f>3055.76+1018.59+681.78+227.26</f>
        <v>4983.3900000000003</v>
      </c>
      <c r="G41" s="22"/>
      <c r="H41" s="22"/>
      <c r="I41" s="25"/>
      <c r="J41" s="25"/>
      <c r="K41" s="12">
        <f t="shared" ref="K41:K48" si="31">SUM(C41:I41)</f>
        <v>11461.76</v>
      </c>
      <c r="L41" s="3">
        <v>949.92</v>
      </c>
      <c r="M41" s="3">
        <f>610.56+377.51</f>
        <v>988.06999999999994</v>
      </c>
      <c r="N41" s="2">
        <f t="shared" ref="N41:N61" si="32">K41-L41-M41-R41</f>
        <v>4575.4500000000007</v>
      </c>
      <c r="O41" s="52">
        <f t="shared" si="1"/>
        <v>6513.4400000000005</v>
      </c>
      <c r="P41" s="48">
        <f t="shared" si="2"/>
        <v>4948.32</v>
      </c>
      <c r="Q41" s="20"/>
      <c r="R41" s="43">
        <v>4948.32</v>
      </c>
    </row>
    <row r="42" spans="1:18" x14ac:dyDescent="0.25">
      <c r="A42" s="35">
        <v>36</v>
      </c>
      <c r="B42" s="44" t="s">
        <v>20</v>
      </c>
      <c r="C42" s="14">
        <f>13766.77+2615.69</f>
        <v>16382.460000000001</v>
      </c>
      <c r="D42" s="22"/>
      <c r="E42" s="22"/>
      <c r="F42" s="22"/>
      <c r="G42" s="22"/>
      <c r="H42" s="22"/>
      <c r="I42" s="25">
        <v>4528.3900000000003</v>
      </c>
      <c r="J42" s="25"/>
      <c r="K42" s="12">
        <f t="shared" si="31"/>
        <v>20910.850000000002</v>
      </c>
      <c r="L42" s="3">
        <v>4517.8999999999996</v>
      </c>
      <c r="M42" s="3">
        <v>988.07</v>
      </c>
      <c r="N42" s="2">
        <f t="shared" si="32"/>
        <v>911.38000000000466</v>
      </c>
      <c r="O42" s="52">
        <f t="shared" si="1"/>
        <v>6417.350000000004</v>
      </c>
      <c r="P42" s="48">
        <f t="shared" si="2"/>
        <v>14493.499999999998</v>
      </c>
      <c r="Q42" s="20"/>
      <c r="R42" s="43">
        <v>14493.5</v>
      </c>
    </row>
    <row r="43" spans="1:18" x14ac:dyDescent="0.25">
      <c r="A43" s="35">
        <v>37</v>
      </c>
      <c r="B43" s="44" t="s">
        <v>21</v>
      </c>
      <c r="C43" s="14">
        <f>9607.36+5076.27</f>
        <v>14683.630000000001</v>
      </c>
      <c r="D43" s="22">
        <v>7897.03</v>
      </c>
      <c r="E43" s="22"/>
      <c r="F43" s="22"/>
      <c r="G43" s="22"/>
      <c r="H43" s="22"/>
      <c r="I43" s="25"/>
      <c r="J43" s="25"/>
      <c r="K43" s="12">
        <f t="shared" si="31"/>
        <v>22580.66</v>
      </c>
      <c r="L43" s="3">
        <v>5029.2299999999996</v>
      </c>
      <c r="M43" s="3">
        <v>988.07</v>
      </c>
      <c r="N43" s="2">
        <f>K43-L43-M43-R43</f>
        <v>1064.0300000000007</v>
      </c>
      <c r="O43" s="52">
        <f>SUM(L43:N43)</f>
        <v>7081.33</v>
      </c>
      <c r="P43" s="48">
        <f t="shared" si="2"/>
        <v>15499.33</v>
      </c>
      <c r="Q43" s="20"/>
      <c r="R43" s="43">
        <v>15499.33</v>
      </c>
    </row>
    <row r="44" spans="1:18" x14ac:dyDescent="0.25">
      <c r="A44" s="35">
        <v>38</v>
      </c>
      <c r="B44" s="44" t="s">
        <v>22</v>
      </c>
      <c r="C44" s="14">
        <f>9182.96+2093.71</f>
        <v>11276.669999999998</v>
      </c>
      <c r="D44" s="22">
        <v>1836.59</v>
      </c>
      <c r="E44" s="22"/>
      <c r="F44" s="22"/>
      <c r="G44" s="22"/>
      <c r="H44" s="22"/>
      <c r="I44" s="25"/>
      <c r="J44" s="25"/>
      <c r="K44" s="12">
        <f t="shared" si="31"/>
        <v>13113.259999999998</v>
      </c>
      <c r="L44" s="3">
        <v>2321.42</v>
      </c>
      <c r="M44" s="3">
        <v>988.07</v>
      </c>
      <c r="N44" s="2">
        <f t="shared" si="32"/>
        <v>759.22999999999774</v>
      </c>
      <c r="O44" s="52">
        <f t="shared" si="1"/>
        <v>4068.719999999998</v>
      </c>
      <c r="P44" s="48">
        <f t="shared" si="2"/>
        <v>9044.5400000000009</v>
      </c>
      <c r="Q44" s="20"/>
      <c r="R44" s="43">
        <v>9044.5400000000009</v>
      </c>
    </row>
    <row r="45" spans="1:18" x14ac:dyDescent="0.25">
      <c r="A45" s="35">
        <v>39</v>
      </c>
      <c r="B45" s="44" t="s">
        <v>71</v>
      </c>
      <c r="C45" s="14">
        <f>3393.41+101.8</f>
        <v>3495.21</v>
      </c>
      <c r="D45" s="22"/>
      <c r="E45" s="22"/>
      <c r="F45" s="22">
        <f>596.18+198.73+99.73+33.24</f>
        <v>927.88</v>
      </c>
      <c r="G45" s="22">
        <f>1192.36+397.45+199.45+66.48</f>
        <v>1855.74</v>
      </c>
      <c r="H45" s="22">
        <v>1788.54</v>
      </c>
      <c r="I45" s="25"/>
      <c r="J45" s="25"/>
      <c r="K45" s="12">
        <f t="shared" si="31"/>
        <v>8067.37</v>
      </c>
      <c r="L45" s="3"/>
      <c r="M45" s="3">
        <f>361.12+59.61</f>
        <v>420.73</v>
      </c>
      <c r="N45" s="2">
        <f t="shared" ref="N45" si="33">K45-L45-M45-R45</f>
        <v>4183.3599999999988</v>
      </c>
      <c r="O45" s="52">
        <f t="shared" ref="O45" si="34">SUM(L45:N45)</f>
        <v>4604.0899999999983</v>
      </c>
      <c r="P45" s="48">
        <f t="shared" ref="P45" si="35">SUM(K45-O45)</f>
        <v>3463.2800000000016</v>
      </c>
      <c r="Q45" s="20"/>
      <c r="R45" s="43">
        <v>3463.28</v>
      </c>
    </row>
    <row r="46" spans="1:18" x14ac:dyDescent="0.25">
      <c r="A46" s="35">
        <v>40</v>
      </c>
      <c r="B46" s="44" t="s">
        <v>23</v>
      </c>
      <c r="C46" s="14">
        <f>9766.36+3867.48</f>
        <v>13633.84</v>
      </c>
      <c r="D46" s="22">
        <v>1953.27</v>
      </c>
      <c r="E46" s="22"/>
      <c r="F46" s="22"/>
      <c r="G46" s="22"/>
      <c r="H46" s="22"/>
      <c r="I46" s="25"/>
      <c r="J46" s="25"/>
      <c r="K46" s="12">
        <f t="shared" si="31"/>
        <v>15587.11</v>
      </c>
      <c r="L46" s="3">
        <v>3053.87</v>
      </c>
      <c r="M46" s="3">
        <v>988.07</v>
      </c>
      <c r="N46" s="2">
        <f t="shared" si="32"/>
        <v>2329.8300000000017</v>
      </c>
      <c r="O46" s="52">
        <f t="shared" si="1"/>
        <v>6371.7700000000023</v>
      </c>
      <c r="P46" s="48">
        <f>SUM(K46-O46)</f>
        <v>9215.3399999999983</v>
      </c>
      <c r="Q46" s="20"/>
      <c r="R46" s="43">
        <v>9215.34</v>
      </c>
    </row>
    <row r="47" spans="1:18" x14ac:dyDescent="0.25">
      <c r="A47" s="35">
        <v>41</v>
      </c>
      <c r="B47" s="44" t="s">
        <v>24</v>
      </c>
      <c r="C47" s="14">
        <f>9002.02+1728.39</f>
        <v>10730.41</v>
      </c>
      <c r="D47" s="22">
        <v>1800.4</v>
      </c>
      <c r="E47" s="22"/>
      <c r="F47" s="22"/>
      <c r="G47" s="22"/>
      <c r="H47" s="22"/>
      <c r="I47" s="25"/>
      <c r="J47" s="25"/>
      <c r="K47" s="12">
        <f t="shared" si="31"/>
        <v>12530.81</v>
      </c>
      <c r="L47" s="3">
        <v>2265.52</v>
      </c>
      <c r="M47" s="3">
        <v>988.07</v>
      </c>
      <c r="N47" s="2">
        <f t="shared" si="32"/>
        <v>1033.9699999999993</v>
      </c>
      <c r="O47" s="52">
        <f t="shared" si="1"/>
        <v>4287.5599999999995</v>
      </c>
      <c r="P47" s="48">
        <f>SUM(K47-O47)</f>
        <v>8243.25</v>
      </c>
      <c r="Q47" s="20"/>
      <c r="R47" s="43">
        <v>8243.25</v>
      </c>
    </row>
    <row r="48" spans="1:18" x14ac:dyDescent="0.25">
      <c r="A48" s="35">
        <v>42</v>
      </c>
      <c r="B48" s="44" t="s">
        <v>79</v>
      </c>
      <c r="C48" s="14">
        <v>6881.18</v>
      </c>
      <c r="D48" s="22">
        <v>1376.24</v>
      </c>
      <c r="E48" s="22"/>
      <c r="F48" s="22"/>
      <c r="G48" s="22"/>
      <c r="H48" s="22"/>
      <c r="I48" s="25"/>
      <c r="J48" s="25"/>
      <c r="K48" s="12">
        <f t="shared" si="31"/>
        <v>8257.42</v>
      </c>
      <c r="L48" s="3">
        <v>1098.74</v>
      </c>
      <c r="M48" s="3">
        <v>957.54</v>
      </c>
      <c r="N48" s="2">
        <f t="shared" si="32"/>
        <v>473.32999999999993</v>
      </c>
      <c r="O48" s="52">
        <f t="shared" si="1"/>
        <v>2529.6099999999997</v>
      </c>
      <c r="P48" s="48">
        <f t="shared" ref="P48" si="36">SUM(K48-O48)</f>
        <v>5727.81</v>
      </c>
      <c r="Q48" s="20"/>
      <c r="R48" s="43">
        <v>5727.81</v>
      </c>
    </row>
    <row r="49" spans="1:18" x14ac:dyDescent="0.25">
      <c r="A49" s="35">
        <v>43</v>
      </c>
      <c r="B49" s="44" t="s">
        <v>25</v>
      </c>
      <c r="C49" s="14">
        <f>8912.89+2121.27</f>
        <v>11034.16</v>
      </c>
      <c r="D49" s="22">
        <v>3565.16</v>
      </c>
      <c r="E49" s="22"/>
      <c r="F49" s="22"/>
      <c r="G49" s="22"/>
      <c r="H49" s="22"/>
      <c r="I49" s="25"/>
      <c r="J49" s="25"/>
      <c r="K49" s="12">
        <f t="shared" ref="K49:K58" si="37">SUM(C49:I49)</f>
        <v>14599.32</v>
      </c>
      <c r="L49" s="3">
        <v>2782.23</v>
      </c>
      <c r="M49" s="3">
        <v>988.07</v>
      </c>
      <c r="N49" s="2">
        <f t="shared" si="32"/>
        <v>307.3700000000008</v>
      </c>
      <c r="O49" s="52">
        <f t="shared" si="1"/>
        <v>4077.670000000001</v>
      </c>
      <c r="P49" s="48">
        <f t="shared" si="2"/>
        <v>10521.649999999998</v>
      </c>
      <c r="Q49" s="20"/>
      <c r="R49" s="43">
        <v>10521.65</v>
      </c>
    </row>
    <row r="50" spans="1:18" x14ac:dyDescent="0.25">
      <c r="A50" s="35">
        <v>44</v>
      </c>
      <c r="B50" s="44" t="s">
        <v>84</v>
      </c>
      <c r="C50" s="14">
        <v>5986.57</v>
      </c>
      <c r="D50" s="22"/>
      <c r="E50" s="22"/>
      <c r="F50" s="22"/>
      <c r="G50" s="22"/>
      <c r="H50" s="22"/>
      <c r="I50" s="25"/>
      <c r="J50" s="25"/>
      <c r="K50" s="12">
        <f t="shared" ref="K50" si="38">SUM(C50:I50)</f>
        <v>5986.57</v>
      </c>
      <c r="L50" s="3">
        <v>380.14</v>
      </c>
      <c r="M50" s="3">
        <v>639.62</v>
      </c>
      <c r="N50" s="2">
        <f t="shared" ref="N50" si="39">K50-L50-M50-R50</f>
        <v>7.4499999999998181</v>
      </c>
      <c r="O50" s="52">
        <f t="shared" ref="O50" si="40">SUM(L50:N50)</f>
        <v>1027.2099999999998</v>
      </c>
      <c r="P50" s="48">
        <f t="shared" ref="P50" si="41">SUM(K50-O50)</f>
        <v>4959.3599999999997</v>
      </c>
      <c r="Q50" s="20"/>
      <c r="R50" s="43">
        <v>4959.3599999999997</v>
      </c>
    </row>
    <row r="51" spans="1:18" x14ac:dyDescent="0.25">
      <c r="A51" s="35">
        <v>45</v>
      </c>
      <c r="B51" s="44" t="s">
        <v>80</v>
      </c>
      <c r="C51" s="14">
        <v>3913.2</v>
      </c>
      <c r="D51" s="22"/>
      <c r="E51" s="22"/>
      <c r="F51" s="22"/>
      <c r="G51" s="22"/>
      <c r="H51" s="22"/>
      <c r="I51" s="25"/>
      <c r="J51" s="25"/>
      <c r="K51" s="12">
        <f t="shared" ref="K51" si="42">SUM(C51:I51)</f>
        <v>3913.2</v>
      </c>
      <c r="L51" s="3"/>
      <c r="M51" s="3">
        <v>358.17</v>
      </c>
      <c r="N51" s="2">
        <f t="shared" ref="N51" si="43">K51-L51-M51-R51</f>
        <v>249.58999999999969</v>
      </c>
      <c r="O51" s="52">
        <f t="shared" ref="O51" si="44">SUM(L51:N51)</f>
        <v>607.75999999999976</v>
      </c>
      <c r="P51" s="48">
        <f t="shared" ref="P51" si="45">SUM(K51-O51)</f>
        <v>3305.44</v>
      </c>
      <c r="Q51" s="20"/>
      <c r="R51" s="43">
        <v>3305.44</v>
      </c>
    </row>
    <row r="52" spans="1:18" x14ac:dyDescent="0.25">
      <c r="A52" s="35">
        <v>46</v>
      </c>
      <c r="B52" s="44" t="s">
        <v>26</v>
      </c>
      <c r="C52" s="14">
        <f>9212.85+1437.2</f>
        <v>10650.050000000001</v>
      </c>
      <c r="D52" s="22">
        <v>1842.57</v>
      </c>
      <c r="E52" s="22"/>
      <c r="F52" s="22"/>
      <c r="G52" s="22"/>
      <c r="H52" s="22"/>
      <c r="I52" s="25"/>
      <c r="J52" s="25"/>
      <c r="K52" s="12">
        <f t="shared" si="37"/>
        <v>12492.62</v>
      </c>
      <c r="L52" s="3">
        <v>2202.88</v>
      </c>
      <c r="M52" s="3">
        <v>988.07</v>
      </c>
      <c r="N52" s="2">
        <f t="shared" si="32"/>
        <v>990.16000000000167</v>
      </c>
      <c r="O52" s="52">
        <f t="shared" si="1"/>
        <v>4181.1100000000024</v>
      </c>
      <c r="P52" s="48">
        <f t="shared" si="2"/>
        <v>8311.5099999999984</v>
      </c>
      <c r="Q52" s="20"/>
      <c r="R52" s="43">
        <v>8311.51</v>
      </c>
    </row>
    <row r="53" spans="1:18" x14ac:dyDescent="0.25">
      <c r="A53" s="35">
        <v>47</v>
      </c>
      <c r="B53" s="44" t="s">
        <v>47</v>
      </c>
      <c r="C53" s="14">
        <v>4668.42</v>
      </c>
      <c r="D53" s="22"/>
      <c r="E53" s="22"/>
      <c r="F53" s="22"/>
      <c r="G53" s="22"/>
      <c r="H53" s="22"/>
      <c r="I53" s="25"/>
      <c r="J53" s="25"/>
      <c r="K53" s="12">
        <f t="shared" si="37"/>
        <v>4668.42</v>
      </c>
      <c r="L53" s="3"/>
      <c r="M53" s="3">
        <v>455.08</v>
      </c>
      <c r="N53" s="2">
        <f t="shared" ref="N53" si="46">K53-L53-M53-R53</f>
        <v>403.55000000000018</v>
      </c>
      <c r="O53" s="52">
        <f t="shared" ref="O53" si="47">SUM(L53:N53)</f>
        <v>858.63000000000011</v>
      </c>
      <c r="P53" s="48">
        <f t="shared" ref="P53" si="48">SUM(K53-O53)</f>
        <v>3809.79</v>
      </c>
      <c r="Q53" s="20"/>
      <c r="R53" s="43">
        <v>3809.79</v>
      </c>
    </row>
    <row r="54" spans="1:18" x14ac:dyDescent="0.25">
      <c r="A54" s="35">
        <v>48</v>
      </c>
      <c r="B54" s="44" t="s">
        <v>27</v>
      </c>
      <c r="C54" s="14">
        <f>20014.12+7925.59</f>
        <v>27939.71</v>
      </c>
      <c r="D54" s="22">
        <v>4002.82</v>
      </c>
      <c r="E54" s="22"/>
      <c r="F54" s="22"/>
      <c r="G54" s="22"/>
      <c r="H54" s="22"/>
      <c r="I54" s="25"/>
      <c r="J54" s="25"/>
      <c r="K54" s="12">
        <f t="shared" si="37"/>
        <v>31942.53</v>
      </c>
      <c r="L54" s="3">
        <v>7603.75</v>
      </c>
      <c r="M54" s="3">
        <v>988.07</v>
      </c>
      <c r="N54" s="2">
        <f t="shared" si="32"/>
        <v>358.30999999999767</v>
      </c>
      <c r="O54" s="52">
        <f t="shared" si="1"/>
        <v>8950.1299999999974</v>
      </c>
      <c r="P54" s="48">
        <f>SUM(K54-O54)</f>
        <v>22992.400000000001</v>
      </c>
      <c r="Q54" s="20"/>
      <c r="R54" s="43">
        <v>22992.400000000001</v>
      </c>
    </row>
    <row r="55" spans="1:18" x14ac:dyDescent="0.25">
      <c r="A55" s="35">
        <v>49</v>
      </c>
      <c r="B55" s="44" t="s">
        <v>64</v>
      </c>
      <c r="C55" s="14">
        <f>4716.81+307.92</f>
        <v>5024.7300000000005</v>
      </c>
      <c r="D55" s="22">
        <v>1441.55</v>
      </c>
      <c r="E55" s="22"/>
      <c r="F55" s="22">
        <f>1162.44+387.48+122.57+40.86</f>
        <v>1713.35</v>
      </c>
      <c r="G55" s="22">
        <f>2324.89+774.96+245.15+81.72</f>
        <v>3426.72</v>
      </c>
      <c r="H55" s="22">
        <v>3487.33</v>
      </c>
      <c r="I55" s="25"/>
      <c r="J55" s="25"/>
      <c r="K55" s="12">
        <f t="shared" si="37"/>
        <v>15093.68</v>
      </c>
      <c r="L55" s="3">
        <v>590.16999999999996</v>
      </c>
      <c r="M55" s="3">
        <f>830.41+116.24</f>
        <v>946.65</v>
      </c>
      <c r="N55" s="2">
        <f t="shared" ref="N55" si="49">K55-L55-M55-R55</f>
        <v>9725.93</v>
      </c>
      <c r="O55" s="52">
        <f t="shared" ref="O55" si="50">SUM(L55:N55)</f>
        <v>11262.75</v>
      </c>
      <c r="P55" s="48">
        <f t="shared" ref="P55" si="51">SUM(K55-O55)</f>
        <v>3830.9300000000003</v>
      </c>
      <c r="Q55" s="20"/>
      <c r="R55" s="43">
        <v>3830.93</v>
      </c>
    </row>
    <row r="56" spans="1:18" x14ac:dyDescent="0.25">
      <c r="A56" s="35">
        <v>50</v>
      </c>
      <c r="B56" s="44" t="s">
        <v>68</v>
      </c>
      <c r="C56" s="14">
        <v>5437.72</v>
      </c>
      <c r="D56" s="22"/>
      <c r="E56" s="22"/>
      <c r="F56" s="22"/>
      <c r="G56" s="22"/>
      <c r="H56" s="22"/>
      <c r="I56" s="25"/>
      <c r="J56" s="25"/>
      <c r="K56" s="12">
        <f t="shared" si="37"/>
        <v>5437.72</v>
      </c>
      <c r="L56" s="3">
        <v>165.05</v>
      </c>
      <c r="M56" s="3">
        <v>562.78</v>
      </c>
      <c r="N56" s="2">
        <f t="shared" ref="N56" si="52">K56-L56-M56-R56</f>
        <v>1197.4600000000005</v>
      </c>
      <c r="O56" s="52">
        <f t="shared" ref="O56" si="53">SUM(L56:N56)</f>
        <v>1925.2900000000004</v>
      </c>
      <c r="P56" s="48">
        <f t="shared" ref="P56" si="54">SUM(K56-O56)</f>
        <v>3512.43</v>
      </c>
      <c r="Q56" s="20"/>
      <c r="R56" s="43">
        <v>3512.43</v>
      </c>
    </row>
    <row r="57" spans="1:18" x14ac:dyDescent="0.25">
      <c r="A57" s="35">
        <v>51</v>
      </c>
      <c r="B57" s="44" t="s">
        <v>28</v>
      </c>
      <c r="C57" s="14">
        <f>17886.06+8764.17</f>
        <v>26650.230000000003</v>
      </c>
      <c r="D57" s="22">
        <v>7154.42</v>
      </c>
      <c r="E57" s="22"/>
      <c r="F57" s="22"/>
      <c r="G57" s="22"/>
      <c r="H57" s="22"/>
      <c r="I57" s="25"/>
      <c r="J57" s="25"/>
      <c r="K57" s="12">
        <f t="shared" si="37"/>
        <v>33804.65</v>
      </c>
      <c r="L57" s="3">
        <v>8063.69</v>
      </c>
      <c r="M57" s="3">
        <v>988.07</v>
      </c>
      <c r="N57" s="2">
        <f t="shared" si="32"/>
        <v>1528.5600000000013</v>
      </c>
      <c r="O57" s="52">
        <f t="shared" si="1"/>
        <v>10580.320000000002</v>
      </c>
      <c r="P57" s="48">
        <f>SUM(K57-O57)</f>
        <v>23224.33</v>
      </c>
      <c r="Q57" s="20"/>
      <c r="R57" s="43">
        <v>23224.33</v>
      </c>
    </row>
    <row r="58" spans="1:18" x14ac:dyDescent="0.25">
      <c r="A58" s="35">
        <v>52</v>
      </c>
      <c r="B58" s="44" t="s">
        <v>29</v>
      </c>
      <c r="C58" s="14">
        <v>9913</v>
      </c>
      <c r="D58" s="22"/>
      <c r="E58" s="22"/>
      <c r="F58" s="22"/>
      <c r="G58" s="22"/>
      <c r="H58" s="22"/>
      <c r="I58" s="25"/>
      <c r="J58" s="25"/>
      <c r="K58" s="12">
        <f t="shared" si="37"/>
        <v>9913</v>
      </c>
      <c r="L58" s="3">
        <v>1545.63</v>
      </c>
      <c r="M58" s="3">
        <v>988.07</v>
      </c>
      <c r="N58" s="2">
        <f t="shared" si="32"/>
        <v>1520.8899999999994</v>
      </c>
      <c r="O58" s="52">
        <f t="shared" si="1"/>
        <v>4054.5899999999997</v>
      </c>
      <c r="P58" s="48">
        <f t="shared" si="2"/>
        <v>5858.41</v>
      </c>
      <c r="Q58" s="20"/>
      <c r="R58" s="43">
        <v>5858.41</v>
      </c>
    </row>
    <row r="59" spans="1:18" x14ac:dyDescent="0.25">
      <c r="A59" s="35">
        <v>53</v>
      </c>
      <c r="B59" s="44" t="s">
        <v>52</v>
      </c>
      <c r="C59" s="14">
        <v>8301.31</v>
      </c>
      <c r="D59" s="22"/>
      <c r="E59" s="22"/>
      <c r="F59" s="22"/>
      <c r="G59" s="22"/>
      <c r="H59" s="22"/>
      <c r="I59" s="25"/>
      <c r="J59" s="25"/>
      <c r="K59" s="12">
        <f>SUM(C59:I59)</f>
        <v>8301.31</v>
      </c>
      <c r="L59" s="3">
        <v>1109.1199999999999</v>
      </c>
      <c r="M59" s="3">
        <v>963.68</v>
      </c>
      <c r="N59" s="2">
        <f t="shared" ref="N59:N60" si="55">K59-L59-M59-R59</f>
        <v>145.84999999999945</v>
      </c>
      <c r="O59" s="52">
        <f t="shared" ref="O59" si="56">SUM(L59:N59)</f>
        <v>2218.6499999999992</v>
      </c>
      <c r="P59" s="48">
        <f t="shared" ref="P59" si="57">SUM(K59-O59)</f>
        <v>6082.66</v>
      </c>
      <c r="Q59" s="20"/>
      <c r="R59" s="43">
        <v>6082.66</v>
      </c>
    </row>
    <row r="60" spans="1:18" x14ac:dyDescent="0.25">
      <c r="A60" s="35">
        <v>54</v>
      </c>
      <c r="B60" s="46" t="s">
        <v>78</v>
      </c>
      <c r="C60" s="40">
        <v>5124.08</v>
      </c>
      <c r="D60" s="41"/>
      <c r="E60" s="41"/>
      <c r="F60" s="41"/>
      <c r="G60" s="22"/>
      <c r="H60" s="22"/>
      <c r="I60" s="25"/>
      <c r="J60" s="25"/>
      <c r="K60" s="12">
        <f>SUM(C60:I60)</f>
        <v>5124.08</v>
      </c>
      <c r="L60" s="42">
        <v>44.44</v>
      </c>
      <c r="M60" s="42">
        <v>518.87</v>
      </c>
      <c r="N60" s="2">
        <f t="shared" si="55"/>
        <v>323.11000000000058</v>
      </c>
      <c r="O60" s="52">
        <f t="shared" ref="O60" si="58">SUM(L60:N60)</f>
        <v>886.42000000000053</v>
      </c>
      <c r="P60" s="48">
        <f t="shared" ref="P60" si="59">SUM(K60-O60)</f>
        <v>4237.66</v>
      </c>
      <c r="Q60" s="20"/>
      <c r="R60" s="43">
        <v>4237.66</v>
      </c>
    </row>
    <row r="61" spans="1:18" ht="15.75" thickBot="1" x14ac:dyDescent="0.3">
      <c r="A61" s="35">
        <v>55</v>
      </c>
      <c r="B61" s="47" t="s">
        <v>30</v>
      </c>
      <c r="C61" s="15">
        <f>13495.51+3211.93</f>
        <v>16707.439999999999</v>
      </c>
      <c r="D61" s="24">
        <v>5398.2</v>
      </c>
      <c r="E61" s="24"/>
      <c r="F61" s="24"/>
      <c r="G61" s="24"/>
      <c r="H61" s="24"/>
      <c r="I61" s="26">
        <v>4528.3900000000003</v>
      </c>
      <c r="J61" s="26"/>
      <c r="K61" s="13">
        <f>SUM(C61:J61)</f>
        <v>26634.03</v>
      </c>
      <c r="L61" s="10">
        <v>6091.77</v>
      </c>
      <c r="M61" s="10">
        <v>988.07</v>
      </c>
      <c r="N61" s="11">
        <f t="shared" si="32"/>
        <v>58.559999999997672</v>
      </c>
      <c r="O61" s="53">
        <f t="shared" si="1"/>
        <v>7138.3999999999978</v>
      </c>
      <c r="P61" s="50">
        <f t="shared" si="2"/>
        <v>19495.63</v>
      </c>
      <c r="Q61" s="20"/>
      <c r="R61" s="43">
        <v>19495.63</v>
      </c>
    </row>
    <row r="62" spans="1:18" ht="15.75" thickBot="1" x14ac:dyDescent="0.3"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spans="1:18" x14ac:dyDescent="0.25">
      <c r="B63" s="63" t="s">
        <v>75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5"/>
    </row>
    <row r="64" spans="1:18" ht="5.25" customHeight="1" x14ac:dyDescent="0.25"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</row>
    <row r="65" spans="2:16" x14ac:dyDescent="0.25">
      <c r="B65" s="60" t="s">
        <v>60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2"/>
    </row>
    <row r="66" spans="2:16" x14ac:dyDescent="0.25">
      <c r="B66" s="57" t="s">
        <v>58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</row>
    <row r="67" spans="2:16" x14ac:dyDescent="0.25">
      <c r="B67" s="57" t="s">
        <v>76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9"/>
    </row>
    <row r="68" spans="2:16" x14ac:dyDescent="0.25">
      <c r="B68" s="57" t="s">
        <v>59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</row>
    <row r="69" spans="2:16" ht="15.75" thickBot="1" x14ac:dyDescent="0.3">
      <c r="B69" s="54" t="s">
        <v>70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2:16" x14ac:dyDescent="0.25">
      <c r="B71" s="6"/>
      <c r="C71" s="5"/>
      <c r="D71" s="5"/>
      <c r="E71" s="5"/>
      <c r="F71" s="5"/>
      <c r="G71" s="5"/>
      <c r="H71" s="5"/>
      <c r="I71" s="5"/>
      <c r="J71" s="5"/>
      <c r="K71" s="36"/>
      <c r="L71" s="5"/>
      <c r="M71" s="5"/>
      <c r="N71" s="5"/>
      <c r="O71" s="36"/>
      <c r="P71" s="5"/>
    </row>
    <row r="72" spans="2:16" x14ac:dyDescent="0.25">
      <c r="B72" s="4"/>
      <c r="C72" s="4"/>
      <c r="D72" s="4"/>
      <c r="E72" s="4"/>
      <c r="F72" s="4"/>
      <c r="G72" s="4"/>
      <c r="H72" s="4"/>
      <c r="I72" s="4"/>
      <c r="J72" s="4"/>
      <c r="K72" s="38"/>
      <c r="L72" s="38"/>
      <c r="M72" s="38"/>
      <c r="N72" s="38"/>
      <c r="O72" s="38"/>
      <c r="P72" s="38"/>
    </row>
    <row r="73" spans="2:16" x14ac:dyDescent="0.25">
      <c r="K73" s="1"/>
      <c r="O73" s="1"/>
      <c r="P73" s="1"/>
    </row>
    <row r="75" spans="2:16" x14ac:dyDescent="0.25">
      <c r="K75" s="1"/>
      <c r="O75" s="1"/>
    </row>
    <row r="76" spans="2:16" x14ac:dyDescent="0.25">
      <c r="K76" s="1"/>
      <c r="L76" s="1"/>
      <c r="M76" s="1"/>
      <c r="N76" s="1"/>
      <c r="P76" s="1"/>
    </row>
  </sheetData>
  <mergeCells count="18">
    <mergeCell ref="B63:P63"/>
    <mergeCell ref="B62:P62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9:P69"/>
    <mergeCell ref="B64:P64"/>
    <mergeCell ref="B65:P65"/>
    <mergeCell ref="B66:P66"/>
    <mergeCell ref="B68:P68"/>
    <mergeCell ref="B67:P67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2026-05-05T17:53:08Z</dcterms:modified>
</cp:coreProperties>
</file>