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6\PORTAL DA TRANSPARÊNCIA\03-MARÇO\"/>
    </mc:Choice>
  </mc:AlternateContent>
  <xr:revisionPtr revIDLastSave="0" documentId="13_ncr:1_{AA17F613-4732-4F16-90A3-FB9F7D6EE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6" l="1"/>
  <c r="G56" i="6"/>
  <c r="F56" i="6"/>
  <c r="C56" i="6"/>
  <c r="L55" i="6"/>
  <c r="G55" i="6"/>
  <c r="F55" i="6"/>
  <c r="C55" i="6"/>
  <c r="M54" i="6"/>
  <c r="G54" i="6"/>
  <c r="F54" i="6"/>
  <c r="C54" i="6"/>
  <c r="C53" i="6"/>
  <c r="G52" i="6"/>
  <c r="F52" i="6"/>
  <c r="C52" i="6"/>
  <c r="C50" i="6"/>
  <c r="C48" i="6"/>
  <c r="C46" i="6"/>
  <c r="C45" i="6"/>
  <c r="C42" i="6"/>
  <c r="C41" i="6"/>
  <c r="C38" i="6"/>
  <c r="C37" i="6"/>
  <c r="M36" i="6"/>
  <c r="F36" i="6"/>
  <c r="C36" i="6"/>
  <c r="G34" i="6"/>
  <c r="F34" i="6"/>
  <c r="D34" i="6"/>
  <c r="C34" i="6"/>
  <c r="C33" i="6"/>
  <c r="L32" i="6"/>
  <c r="F32" i="6"/>
  <c r="C32" i="6"/>
  <c r="C31" i="6"/>
  <c r="C22" i="6"/>
  <c r="M19" i="6"/>
  <c r="G19" i="6"/>
  <c r="F19" i="6"/>
  <c r="C19" i="6"/>
  <c r="C15" i="6"/>
  <c r="D14" i="6"/>
  <c r="C14" i="6"/>
  <c r="C12" i="6"/>
  <c r="D12" i="6"/>
  <c r="C8" i="6"/>
  <c r="C7" i="6"/>
  <c r="K13" i="6"/>
  <c r="N13" i="6" s="1"/>
  <c r="O13" i="6" s="1"/>
  <c r="P13" i="6" s="1"/>
  <c r="M56" i="6"/>
  <c r="K49" i="6"/>
  <c r="N49" i="6" s="1"/>
  <c r="O49" i="6" s="1"/>
  <c r="P49" i="6" s="1"/>
  <c r="M48" i="6"/>
  <c r="K47" i="6"/>
  <c r="N47" i="6" s="1"/>
  <c r="O47" i="6" s="1"/>
  <c r="P47" i="6" s="1"/>
  <c r="C43" i="6"/>
  <c r="M38" i="6"/>
  <c r="C27" i="6" l="1"/>
  <c r="C17" i="6"/>
  <c r="C16" i="6"/>
  <c r="C10" i="6"/>
  <c r="M43" i="6"/>
  <c r="M41" i="6"/>
  <c r="M25" i="6"/>
  <c r="C21" i="6"/>
  <c r="M17" i="6"/>
  <c r="M15" i="6"/>
  <c r="M14" i="6"/>
  <c r="C57" i="6"/>
  <c r="C9" i="6"/>
  <c r="C40" i="6"/>
  <c r="K58" i="6"/>
  <c r="N58" i="6" s="1"/>
  <c r="O58" i="6" s="1"/>
  <c r="P58" i="6" s="1"/>
  <c r="K35" i="6"/>
  <c r="N35" i="6" l="1"/>
  <c r="O35" i="6" s="1"/>
  <c r="P35" i="6" s="1"/>
  <c r="K30" i="6"/>
  <c r="N30" i="6" l="1"/>
  <c r="O30" i="6" s="1"/>
  <c r="P30" i="6" s="1"/>
  <c r="K29" i="6"/>
  <c r="K20" i="6"/>
  <c r="N20" i="6" s="1"/>
  <c r="O20" i="6" s="1"/>
  <c r="P20" i="6" s="1"/>
  <c r="N29" i="6" l="1"/>
  <c r="O29" i="6" s="1"/>
  <c r="P29" i="6" s="1"/>
  <c r="K18" i="6"/>
  <c r="N18" i="6" s="1"/>
  <c r="K54" i="6"/>
  <c r="N54" i="6" s="1"/>
  <c r="O54" i="6" s="1"/>
  <c r="K44" i="6"/>
  <c r="N44" i="6" s="1"/>
  <c r="O44" i="6" s="1"/>
  <c r="P44" i="6" s="1"/>
  <c r="K39" i="6"/>
  <c r="N39" i="6" s="1"/>
  <c r="O39" i="6" s="1"/>
  <c r="P39" i="6" s="1"/>
  <c r="K10" i="6"/>
  <c r="O18" i="6" l="1"/>
  <c r="P18" i="6" s="1"/>
  <c r="P54" i="6"/>
  <c r="N10" i="6"/>
  <c r="O10" i="6" s="1"/>
  <c r="P10" i="6" s="1"/>
  <c r="K53" i="6"/>
  <c r="K59" i="6" l="1"/>
  <c r="K41" i="6"/>
  <c r="N53" i="6"/>
  <c r="O53" i="6" s="1"/>
  <c r="P53" i="6" s="1"/>
  <c r="K12" i="6"/>
  <c r="K9" i="6"/>
  <c r="N9" i="6" s="1"/>
  <c r="O9" i="6" s="1"/>
  <c r="P9" i="6" s="1"/>
  <c r="N12" i="6" l="1"/>
  <c r="O12" i="6" s="1"/>
  <c r="P12" i="6" s="1"/>
  <c r="K52" i="6" l="1"/>
  <c r="K43" i="6"/>
  <c r="K42" i="6"/>
  <c r="K40" i="6"/>
  <c r="K32" i="6"/>
  <c r="K45" i="6"/>
  <c r="K48" i="6"/>
  <c r="K50" i="6"/>
  <c r="K51" i="6"/>
  <c r="K55" i="6"/>
  <c r="K56" i="6"/>
  <c r="K57" i="6"/>
  <c r="K38" i="6"/>
  <c r="K26" i="6"/>
  <c r="K27" i="6"/>
  <c r="K28" i="6"/>
  <c r="K31" i="6"/>
  <c r="K33" i="6"/>
  <c r="K34" i="6"/>
  <c r="K36" i="6"/>
  <c r="K37" i="6"/>
  <c r="K8" i="6"/>
  <c r="K11" i="6"/>
  <c r="K15" i="6"/>
  <c r="K16" i="6"/>
  <c r="K17" i="6"/>
  <c r="K19" i="6"/>
  <c r="K21" i="6"/>
  <c r="K22" i="6"/>
  <c r="K23" i="6"/>
  <c r="K24" i="6"/>
  <c r="K25" i="6"/>
  <c r="K7" i="6"/>
  <c r="K46" i="6" l="1"/>
  <c r="K14" i="6"/>
  <c r="N57" i="6" l="1"/>
  <c r="O57" i="6" s="1"/>
  <c r="P57" i="6" s="1"/>
  <c r="N27" i="6" l="1"/>
  <c r="O27" i="6" s="1"/>
  <c r="P27" i="6" s="1"/>
  <c r="N8" i="6" l="1"/>
  <c r="O8" i="6" s="1"/>
  <c r="P8" i="6" s="1"/>
  <c r="N36" i="6" l="1"/>
  <c r="O36" i="6" s="1"/>
  <c r="P36" i="6" s="1"/>
  <c r="N51" i="6" l="1"/>
  <c r="O51" i="6" s="1"/>
  <c r="P51" i="6" s="1"/>
  <c r="N15" i="6" l="1"/>
  <c r="O15" i="6" s="1"/>
  <c r="P15" i="6" s="1"/>
  <c r="N11" i="6" l="1"/>
  <c r="O11" i="6" s="1"/>
  <c r="P11" i="6" s="1"/>
  <c r="N59" i="6"/>
  <c r="O59" i="6" s="1"/>
  <c r="P59" i="6" s="1"/>
  <c r="N50" i="6"/>
  <c r="O50" i="6" s="1"/>
  <c r="P50" i="6" s="1"/>
  <c r="N48" i="6"/>
  <c r="O48" i="6" s="1"/>
  <c r="P48" i="6" s="1"/>
  <c r="N43" i="6"/>
  <c r="O43" i="6" s="1"/>
  <c r="N42" i="6"/>
  <c r="O42" i="6" s="1"/>
  <c r="N41" i="6"/>
  <c r="O41" i="6" s="1"/>
  <c r="P41" i="6" s="1"/>
  <c r="N38" i="6"/>
  <c r="O38" i="6" s="1"/>
  <c r="P38" i="6" s="1"/>
  <c r="N33" i="6"/>
  <c r="O33" i="6" s="1"/>
  <c r="P33" i="6" s="1"/>
  <c r="N32" i="6"/>
  <c r="O32" i="6" s="1"/>
  <c r="P32" i="6" s="1"/>
  <c r="N31" i="6"/>
  <c r="O31" i="6" s="1"/>
  <c r="P31" i="6" s="1"/>
  <c r="N25" i="6"/>
  <c r="O25" i="6" s="1"/>
  <c r="P25" i="6" s="1"/>
  <c r="N23" i="6"/>
  <c r="O23" i="6" s="1"/>
  <c r="P23" i="6" s="1"/>
  <c r="N22" i="6"/>
  <c r="O22" i="6" s="1"/>
  <c r="P22" i="6" s="1"/>
  <c r="N21" i="6"/>
  <c r="O21" i="6" s="1"/>
  <c r="P21" i="6" s="1"/>
  <c r="N17" i="6"/>
  <c r="O17" i="6" s="1"/>
  <c r="P17" i="6" s="1"/>
  <c r="N7" i="6"/>
  <c r="O7" i="6" s="1"/>
  <c r="P7" i="6" s="1"/>
  <c r="N40" i="6" l="1"/>
  <c r="O40" i="6" s="1"/>
  <c r="P40" i="6" s="1"/>
  <c r="N56" i="6"/>
  <c r="O56" i="6" s="1"/>
  <c r="P56" i="6" s="1"/>
  <c r="N16" i="6"/>
  <c r="O16" i="6" s="1"/>
  <c r="P16" i="6" s="1"/>
  <c r="N52" i="6"/>
  <c r="O52" i="6" s="1"/>
  <c r="P52" i="6" s="1"/>
  <c r="N45" i="6"/>
  <c r="N46" i="6"/>
  <c r="O46" i="6" s="1"/>
  <c r="P46" i="6" s="1"/>
  <c r="N55" i="6"/>
  <c r="O55" i="6" s="1"/>
  <c r="P55" i="6" s="1"/>
  <c r="N28" i="6"/>
  <c r="O28" i="6" s="1"/>
  <c r="P28" i="6" s="1"/>
  <c r="N24" i="6"/>
  <c r="O24" i="6" s="1"/>
  <c r="P24" i="6" s="1"/>
  <c r="N34" i="6"/>
  <c r="O34" i="6" s="1"/>
  <c r="P34" i="6" s="1"/>
  <c r="N19" i="6"/>
  <c r="O19" i="6" s="1"/>
  <c r="P19" i="6" s="1"/>
  <c r="N14" i="6"/>
  <c r="O14" i="6" s="1"/>
  <c r="P14" i="6" s="1"/>
  <c r="P43" i="6"/>
  <c r="P42" i="6"/>
  <c r="N37" i="6"/>
  <c r="O37" i="6" s="1"/>
  <c r="P37" i="6" s="1"/>
  <c r="O45" i="6" l="1"/>
  <c r="P45" i="6" s="1"/>
  <c r="N26" i="6" l="1"/>
  <c r="O26" i="6" s="1"/>
  <c r="P26" i="6" s="1"/>
</calcChain>
</file>

<file path=xl/sharedStrings.xml><?xml version="1.0" encoding="utf-8"?>
<sst xmlns="http://schemas.openxmlformats.org/spreadsheetml/2006/main" count="85" uniqueCount="83">
  <si>
    <t>ADRIANA IAIZZO MAGALHAES</t>
  </si>
  <si>
    <t>BERNADETE DOS SANTOS GONCALVES</t>
  </si>
  <si>
    <t>CELITA ZAIDOVICZ PALTANIN</t>
  </si>
  <si>
    <t>DIRCEU DE FATIMA ZONATTO</t>
  </si>
  <si>
    <t>ELIZANDRA CARVALHO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</si>
  <si>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</si>
  <si>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</si>
  <si>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</si>
  <si>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</si>
  <si>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</si>
  <si>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</si>
  <si>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</si>
  <si>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</si>
  <si>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</si>
  <si>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</si>
  <si>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</si>
  <si>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</si>
  <si>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</si>
  <si>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</si>
  <si>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</si>
  <si>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</si>
  <si>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</si>
  <si>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</si>
  <si>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</si>
  <si>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</si>
  <si>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RAFAEL MARCOS AMARAL</t>
  </si>
  <si>
    <t>ROGERS SILVA GARCEZ DAS NEVES</t>
  </si>
  <si>
    <t>RONALDO VELOSO DE ALCANTARA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</si>
  <si>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</si>
  <si>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</si>
  <si>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</si>
  <si>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</si>
  <si>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</si>
  <si>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</si>
  <si>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</si>
  <si>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</si>
  <si>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</si>
  <si>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</si>
  <si>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</si>
  <si>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</si>
  <si>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</si>
  <si>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</si>
  <si>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</si>
  <si>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</si>
  <si>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</si>
  <si>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</si>
  <si>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</si>
  <si>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</si>
  <si>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</si>
  <si>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</si>
  <si>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</si>
  <si>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</si>
  <si>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</si>
  <si>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</si>
  <si>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</si>
  <si>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</si>
  <si>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</si>
  <si>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</si>
  <si>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</si>
  <si>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</si>
  <si>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</si>
  <si>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</si>
  <si>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</si>
  <si>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</si>
  <si>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</si>
  <si>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</si>
  <si>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ANNE KAROLYNE CABRAL FORTUNATO</t>
  </si>
  <si>
    <t>MARILIZA MIOTTO</t>
  </si>
  <si>
    <t>SIBELLI CRISTINA SABINO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</si>
  <si>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</si>
  <si>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</si>
  <si>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</si>
  <si>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</si>
  <si>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</si>
  <si>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</si>
  <si>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</si>
  <si>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</si>
  <si>
    <t>MARCIA MENDES DE SOUZA</t>
  </si>
  <si>
    <t>VINICIUS GABRIEL FRANK SALDANHA</t>
  </si>
  <si>
    <t>PHILIPPE YAN GUERIOS SERVIN</t>
  </si>
  <si>
    <t>RENAN FELIPE CORREA NETO</t>
  </si>
  <si>
    <t>Março/2026</t>
  </si>
  <si>
    <t>CAROLINE KIRSTIE KRULL TELES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</si>
</sst>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1" fillId="3" borderId="16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2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4" xfId="0" applyNumberFormat="1" applyFont="1" applyFill="1" applyBorder="1" applyProtection="1">
      <protection locked="0"/>
    </xf>
    <xf numFmtId="164" fontId="1" fillId="4" borderId="24" xfId="0" applyNumberFormat="1" applyFont="1" applyFill="1" applyBorder="1"/>
    <xf numFmtId="164" fontId="0" fillId="0" borderId="22" xfId="0" applyNumberFormat="1" applyBorder="1" applyProtection="1">
      <protection locked="0"/>
    </xf>
    <xf numFmtId="164" fontId="0" fillId="0" borderId="22" xfId="0" applyNumberFormat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0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0" borderId="27" xfId="0" applyNumberFormat="1" applyFont="1" applyBorder="1" applyProtection="1">
      <protection locked="0"/>
    </xf>
    <xf numFmtId="164" fontId="0" fillId="0" borderId="27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3" xfId="0" applyFont="1" applyBorder="1"/>
    <xf numFmtId="0" fontId="4" fillId="0" borderId="25" xfId="0" applyFont="1" applyBorder="1"/>
    <xf numFmtId="0" fontId="4" fillId="0" borderId="18" xfId="0" applyFont="1" applyBorder="1"/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2" borderId="28" xfId="0" applyNumberFormat="1" applyFont="1" applyFill="1" applyBorder="1"/>
    <xf numFmtId="164" fontId="1" fillId="2" borderId="29" xfId="0" applyNumberFormat="1" applyFont="1" applyFill="1" applyBorder="1"/>
    <xf numFmtId="164" fontId="1" fillId="2" borderId="30" xfId="0" applyNumberFormat="1" applyFont="1" applyFill="1" applyBorder="1"/>
    <xf numFmtId="164" fontId="0" fillId="0" borderId="31" xfId="0" applyNumberFormat="1" applyBorder="1"/>
    <xf numFmtId="164" fontId="0" fillId="0" borderId="28" xfId="0" applyNumberFormat="1" applyBorder="1"/>
    <xf numFmtId="164" fontId="0" fillId="0" borderId="30" xfId="0" applyNumberForma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4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A60" sqref="A60"/>
    </sheetView>
  </sheetViews>
  <sheetFormatPr defaultRowHeight="15" outlineLevelCol="1" x14ac:dyDescent="0.25"/>
  <cols>
    <col min="1" max="1" width="3.7109375" customWidth="1"/>
    <col min="2" max="2" width="53.140625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8" ht="16.5" x14ac:dyDescent="0.25">
      <c r="B1" s="61" t="s">
        <v>42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8" ht="16.5" x14ac:dyDescent="0.25">
      <c r="B2" s="61" t="s">
        <v>43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8" ht="4.5" customHeight="1" thickBot="1" x14ac:dyDescent="0.3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8" ht="19.5" thickBot="1" x14ac:dyDescent="0.35">
      <c r="B4" s="37" t="s">
        <v>81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8" x14ac:dyDescent="0.25">
      <c r="B5" s="63" t="s">
        <v>41</v>
      </c>
      <c r="C5" s="65" t="s">
        <v>31</v>
      </c>
      <c r="D5" s="69" t="s">
        <v>53</v>
      </c>
      <c r="E5" s="65" t="s">
        <v>32</v>
      </c>
      <c r="F5" s="65" t="s">
        <v>54</v>
      </c>
      <c r="G5" s="31" t="s">
        <v>55</v>
      </c>
      <c r="H5" s="32" t="s">
        <v>57</v>
      </c>
      <c r="I5" s="16" t="s">
        <v>44</v>
      </c>
      <c r="J5" s="8" t="s">
        <v>61</v>
      </c>
      <c r="K5" s="16" t="s">
        <v>33</v>
      </c>
      <c r="L5" s="67" t="s">
        <v>35</v>
      </c>
      <c r="M5" s="65" t="s">
        <v>36</v>
      </c>
      <c r="N5" s="16" t="s">
        <v>37</v>
      </c>
      <c r="O5" s="8" t="s">
        <v>39</v>
      </c>
      <c r="P5" s="18" t="s">
        <v>33</v>
      </c>
    </row>
    <row r="6" spans="1:18" ht="15.75" thickBot="1" x14ac:dyDescent="0.3">
      <c r="B6" s="64"/>
      <c r="C6" s="66"/>
      <c r="D6" s="70"/>
      <c r="E6" s="66"/>
      <c r="F6" s="66"/>
      <c r="G6" s="33" t="s">
        <v>56</v>
      </c>
      <c r="H6" s="34" t="s">
        <v>46</v>
      </c>
      <c r="I6" s="17" t="s">
        <v>45</v>
      </c>
      <c r="J6" s="9" t="s">
        <v>62</v>
      </c>
      <c r="K6" s="17" t="s">
        <v>34</v>
      </c>
      <c r="L6" s="68"/>
      <c r="M6" s="66"/>
      <c r="N6" s="17" t="s">
        <v>38</v>
      </c>
      <c r="O6" s="9" t="s">
        <v>38</v>
      </c>
      <c r="P6" s="19" t="s">
        <v>40</v>
      </c>
    </row>
    <row r="7" spans="1:18" x14ac:dyDescent="0.25">
      <c r="A7" s="35">
        <v>1</v>
      </c>
      <c r="B7" s="44" t="s">
        <v>0</v>
      </c>
      <c r="C7" s="14">
        <f>8237.76+1272.89</f>
        <v>9510.65</v>
      </c>
      <c r="D7" s="22">
        <v>3333.98</v>
      </c>
      <c r="E7" s="22"/>
      <c r="F7" s="22"/>
      <c r="G7" s="22"/>
      <c r="H7" s="22"/>
      <c r="I7" s="25"/>
      <c r="J7" s="25"/>
      <c r="K7" s="12">
        <f t="shared" ref="K7:K14" si="0">SUM(C7:I7)</f>
        <v>12844.63</v>
      </c>
      <c r="L7" s="3">
        <v>2351.8200000000002</v>
      </c>
      <c r="M7" s="3">
        <v>988.07</v>
      </c>
      <c r="N7" s="2">
        <f>K7-L7-M7-R7</f>
        <v>52.850000000000364</v>
      </c>
      <c r="O7" s="74">
        <f t="shared" ref="O7:O59" si="1">SUM(L7:N7)</f>
        <v>3392.7400000000007</v>
      </c>
      <c r="P7" s="71">
        <f t="shared" ref="P7:P59" si="2">SUM(K7-O7)</f>
        <v>9451.89</v>
      </c>
      <c r="Q7" s="20"/>
      <c r="R7" s="43">
        <v>9451.89</v>
      </c>
    </row>
    <row r="8" spans="1:18" x14ac:dyDescent="0.25">
      <c r="A8" s="35">
        <v>2</v>
      </c>
      <c r="B8" s="44" t="s">
        <v>49</v>
      </c>
      <c r="C8" s="14">
        <f>3798.25+570.58</f>
        <v>4368.83</v>
      </c>
      <c r="D8" s="22">
        <v>3333.98</v>
      </c>
      <c r="E8" s="22"/>
      <c r="F8" s="22"/>
      <c r="G8" s="22"/>
      <c r="H8" s="22"/>
      <c r="I8" s="25"/>
      <c r="J8" s="25"/>
      <c r="K8" s="12">
        <f t="shared" si="0"/>
        <v>7702.8099999999995</v>
      </c>
      <c r="L8" s="3">
        <v>967.57</v>
      </c>
      <c r="M8" s="3">
        <v>879.89</v>
      </c>
      <c r="N8" s="2">
        <f t="shared" ref="N8:N13" si="3">K8-L8-M8-R8</f>
        <v>114.11999999999989</v>
      </c>
      <c r="O8" s="75">
        <f t="shared" si="1"/>
        <v>1961.58</v>
      </c>
      <c r="P8" s="71">
        <f t="shared" si="2"/>
        <v>5741.23</v>
      </c>
      <c r="Q8" s="20"/>
      <c r="R8" s="43">
        <v>5741.23</v>
      </c>
    </row>
    <row r="9" spans="1:18" x14ac:dyDescent="0.25">
      <c r="A9" s="35">
        <v>3</v>
      </c>
      <c r="B9" s="44" t="s">
        <v>65</v>
      </c>
      <c r="C9" s="14">
        <f>6914.39+331.89</f>
        <v>7246.2800000000007</v>
      </c>
      <c r="D9" s="22">
        <v>1382.88</v>
      </c>
      <c r="E9" s="22"/>
      <c r="F9" s="20"/>
      <c r="G9" s="20"/>
      <c r="H9" s="22"/>
      <c r="I9" s="25"/>
      <c r="J9" s="25"/>
      <c r="K9" s="12">
        <f t="shared" ref="K9:K10" si="4">SUM(C9:I9)</f>
        <v>8629.16</v>
      </c>
      <c r="L9" s="3">
        <v>1192.57</v>
      </c>
      <c r="M9" s="3">
        <v>988.07</v>
      </c>
      <c r="N9" s="2">
        <f t="shared" ref="N9:N10" si="5">K9-L9-M9-R9</f>
        <v>901.92000000000007</v>
      </c>
      <c r="O9" s="75">
        <f t="shared" ref="O9:O10" si="6">SUM(L9:N9)</f>
        <v>3082.56</v>
      </c>
      <c r="P9" s="71">
        <f t="shared" ref="P9:P10" si="7">SUM(K9-O9)</f>
        <v>5546.6</v>
      </c>
      <c r="Q9" s="20"/>
      <c r="R9" s="43">
        <v>5546.6</v>
      </c>
    </row>
    <row r="10" spans="1:18" x14ac:dyDescent="0.25">
      <c r="A10" s="35">
        <v>4</v>
      </c>
      <c r="B10" s="44" t="s">
        <v>66</v>
      </c>
      <c r="C10" s="14">
        <f>4687.16+140.61</f>
        <v>4827.7699999999995</v>
      </c>
      <c r="D10" s="22"/>
      <c r="E10" s="22"/>
      <c r="F10" s="22"/>
      <c r="G10" s="22"/>
      <c r="H10" s="22"/>
      <c r="I10" s="25"/>
      <c r="J10" s="25"/>
      <c r="K10" s="12">
        <f t="shared" si="4"/>
        <v>4827.7699999999995</v>
      </c>
      <c r="L10" s="3">
        <v>0</v>
      </c>
      <c r="M10" s="3">
        <v>477.39</v>
      </c>
      <c r="N10" s="2">
        <f t="shared" si="5"/>
        <v>9.3499999999994543</v>
      </c>
      <c r="O10" s="75">
        <f t="shared" si="6"/>
        <v>486.73999999999944</v>
      </c>
      <c r="P10" s="71">
        <f t="shared" si="7"/>
        <v>4341.03</v>
      </c>
      <c r="Q10" s="20"/>
      <c r="R10" s="43">
        <v>4341.03</v>
      </c>
    </row>
    <row r="11" spans="1:18" x14ac:dyDescent="0.25">
      <c r="A11" s="35">
        <v>5</v>
      </c>
      <c r="B11" s="44" t="s">
        <v>1</v>
      </c>
      <c r="C11" s="14">
        <v>6715.16</v>
      </c>
      <c r="D11" s="22"/>
      <c r="E11" s="22"/>
      <c r="F11" s="22"/>
      <c r="G11" s="22"/>
      <c r="H11" s="22"/>
      <c r="I11" s="25"/>
      <c r="J11" s="25"/>
      <c r="K11" s="12">
        <f t="shared" si="0"/>
        <v>6715.16</v>
      </c>
      <c r="L11" s="3">
        <v>649.46</v>
      </c>
      <c r="M11" s="3">
        <v>741.62</v>
      </c>
      <c r="N11" s="2">
        <f t="shared" si="3"/>
        <v>1105.6199999999999</v>
      </c>
      <c r="O11" s="75">
        <f t="shared" si="1"/>
        <v>2496.6999999999998</v>
      </c>
      <c r="P11" s="71">
        <f t="shared" si="2"/>
        <v>4218.46</v>
      </c>
      <c r="Q11" s="20"/>
      <c r="R11" s="43">
        <v>4218.46</v>
      </c>
    </row>
    <row r="12" spans="1:18" x14ac:dyDescent="0.25">
      <c r="A12" s="35">
        <v>6</v>
      </c>
      <c r="B12" s="44" t="s">
        <v>63</v>
      </c>
      <c r="C12" s="14">
        <f>6914.39+360.9</f>
        <v>7275.29</v>
      </c>
      <c r="D12" s="22">
        <f>1382.88+725.18</f>
        <v>2108.06</v>
      </c>
      <c r="E12" s="22"/>
      <c r="F12" s="22"/>
      <c r="G12" s="22"/>
      <c r="H12" s="22"/>
      <c r="I12" s="25"/>
      <c r="J12" s="25"/>
      <c r="K12" s="12">
        <f t="shared" si="0"/>
        <v>9383.35</v>
      </c>
      <c r="L12" s="3">
        <v>1295.7</v>
      </c>
      <c r="M12" s="3">
        <v>988.07</v>
      </c>
      <c r="N12" s="2">
        <f t="shared" si="3"/>
        <v>193.16000000000076</v>
      </c>
      <c r="O12" s="75">
        <f t="shared" si="1"/>
        <v>2476.9300000000007</v>
      </c>
      <c r="P12" s="71">
        <f t="shared" si="2"/>
        <v>6906.42</v>
      </c>
      <c r="Q12" s="20"/>
      <c r="R12" s="43">
        <v>6906.42</v>
      </c>
    </row>
    <row r="13" spans="1:18" x14ac:dyDescent="0.25">
      <c r="A13" s="35">
        <v>7</v>
      </c>
      <c r="B13" s="44" t="s">
        <v>82</v>
      </c>
      <c r="C13" s="14">
        <v>2558.65</v>
      </c>
      <c r="D13" s="22"/>
      <c r="E13" s="22"/>
      <c r="F13" s="22"/>
      <c r="G13" s="22"/>
      <c r="H13" s="22"/>
      <c r="I13" s="25"/>
      <c r="J13" s="25"/>
      <c r="K13" s="12">
        <f t="shared" si="0"/>
        <v>2558.65</v>
      </c>
      <c r="L13" s="3"/>
      <c r="M13" s="3">
        <v>205.95</v>
      </c>
      <c r="N13" s="2">
        <f t="shared" si="3"/>
        <v>7.4500000000002728</v>
      </c>
      <c r="O13" s="75">
        <f t="shared" si="1"/>
        <v>213.40000000000026</v>
      </c>
      <c r="P13" s="71">
        <f t="shared" si="2"/>
        <v>2345.25</v>
      </c>
      <c r="Q13" s="20"/>
      <c r="R13" s="43">
        <v>2345.25</v>
      </c>
    </row>
    <row r="14" spans="1:18" x14ac:dyDescent="0.25">
      <c r="A14" s="35">
        <v>8</v>
      </c>
      <c r="B14" s="44" t="s">
        <v>2</v>
      </c>
      <c r="C14" s="14">
        <f>17946.22+9421.77</f>
        <v>27367.99</v>
      </c>
      <c r="D14" s="22">
        <f>1794.62+7178.49</f>
        <v>8973.11</v>
      </c>
      <c r="E14" s="22"/>
      <c r="F14" s="22"/>
      <c r="G14" s="22"/>
      <c r="H14" s="22"/>
      <c r="I14" s="25"/>
      <c r="J14" s="25"/>
      <c r="K14" s="12">
        <f t="shared" si="0"/>
        <v>36341.100000000006</v>
      </c>
      <c r="L14" s="3">
        <v>8813.35</v>
      </c>
      <c r="M14" s="3">
        <f>702.58+285.49</f>
        <v>988.07</v>
      </c>
      <c r="N14" s="2">
        <f>K14-L14-M14-R14</f>
        <v>1198.6500000000087</v>
      </c>
      <c r="O14" s="75">
        <f t="shared" si="1"/>
        <v>11000.070000000009</v>
      </c>
      <c r="P14" s="71">
        <f t="shared" si="2"/>
        <v>25341.03</v>
      </c>
      <c r="Q14" s="20"/>
      <c r="R14" s="43">
        <v>25341.03</v>
      </c>
    </row>
    <row r="15" spans="1:18" x14ac:dyDescent="0.25">
      <c r="A15" s="35">
        <v>9</v>
      </c>
      <c r="B15" s="44" t="s">
        <v>3</v>
      </c>
      <c r="C15" s="14">
        <f>17946.22+6532.42</f>
        <v>24478.639999999999</v>
      </c>
      <c r="D15" s="22">
        <v>7178.49</v>
      </c>
      <c r="E15" s="22"/>
      <c r="F15" s="39"/>
      <c r="G15" s="22"/>
      <c r="H15" s="22"/>
      <c r="I15" s="25"/>
      <c r="J15" s="25"/>
      <c r="K15" s="12">
        <f t="shared" ref="K15:K26" si="8">SUM(C15:I15)</f>
        <v>31657.129999999997</v>
      </c>
      <c r="L15" s="3">
        <v>7525.26</v>
      </c>
      <c r="M15" s="3">
        <f>163.33+824.74</f>
        <v>988.07</v>
      </c>
      <c r="N15" s="2">
        <f t="shared" ref="N15:N38" si="9">K15-L15-M15-R15</f>
        <v>84.349999999994907</v>
      </c>
      <c r="O15" s="75">
        <f t="shared" si="1"/>
        <v>8597.6799999999948</v>
      </c>
      <c r="P15" s="71">
        <f t="shared" si="2"/>
        <v>23059.450000000004</v>
      </c>
      <c r="Q15" s="20"/>
      <c r="R15" s="43">
        <v>23059.45</v>
      </c>
    </row>
    <row r="16" spans="1:18" x14ac:dyDescent="0.25">
      <c r="A16" s="35">
        <v>10</v>
      </c>
      <c r="B16" s="44" t="s">
        <v>4</v>
      </c>
      <c r="C16" s="14">
        <f>4588.7+813.24</f>
        <v>5401.94</v>
      </c>
      <c r="D16" s="22">
        <v>1667.01</v>
      </c>
      <c r="E16" s="22"/>
      <c r="F16" s="22"/>
      <c r="G16" s="22"/>
      <c r="H16" s="22"/>
      <c r="I16" s="25"/>
      <c r="J16" s="25"/>
      <c r="K16" s="12">
        <f t="shared" si="8"/>
        <v>7068.95</v>
      </c>
      <c r="L16" s="3">
        <v>780.25</v>
      </c>
      <c r="M16" s="3">
        <v>791.15</v>
      </c>
      <c r="N16" s="2">
        <f t="shared" si="9"/>
        <v>72.289999999999964</v>
      </c>
      <c r="O16" s="75">
        <f t="shared" si="1"/>
        <v>1643.69</v>
      </c>
      <c r="P16" s="71">
        <f t="shared" si="2"/>
        <v>5425.26</v>
      </c>
      <c r="Q16" s="20"/>
      <c r="R16" s="43">
        <v>5425.26</v>
      </c>
    </row>
    <row r="17" spans="1:18" x14ac:dyDescent="0.25">
      <c r="A17" s="35">
        <v>11</v>
      </c>
      <c r="B17" s="44" t="s">
        <v>5</v>
      </c>
      <c r="C17" s="14">
        <f>8353.33+2420.47</f>
        <v>10773.8</v>
      </c>
      <c r="D17" s="22">
        <v>4385.9799999999996</v>
      </c>
      <c r="E17" s="22"/>
      <c r="F17" s="22"/>
      <c r="G17" s="22"/>
      <c r="H17" s="22"/>
      <c r="I17" s="25"/>
      <c r="J17" s="25"/>
      <c r="K17" s="12">
        <f t="shared" si="8"/>
        <v>15159.779999999999</v>
      </c>
      <c r="L17" s="3">
        <v>2832.08</v>
      </c>
      <c r="M17" s="3">
        <f>235.22+752.85</f>
        <v>988.07</v>
      </c>
      <c r="N17" s="2">
        <f t="shared" si="9"/>
        <v>744.42999999999847</v>
      </c>
      <c r="O17" s="75">
        <f t="shared" si="1"/>
        <v>4564.5799999999981</v>
      </c>
      <c r="P17" s="71">
        <f t="shared" si="2"/>
        <v>10595.2</v>
      </c>
      <c r="Q17" s="20"/>
      <c r="R17" s="43">
        <v>10595.2</v>
      </c>
    </row>
    <row r="18" spans="1:18" x14ac:dyDescent="0.25">
      <c r="A18" s="35">
        <v>12</v>
      </c>
      <c r="B18" s="44" t="s">
        <v>69</v>
      </c>
      <c r="C18" s="14">
        <v>3506.59</v>
      </c>
      <c r="D18" s="22"/>
      <c r="E18" s="22"/>
      <c r="F18" s="22"/>
      <c r="G18" s="22"/>
      <c r="H18" s="22"/>
      <c r="I18" s="25"/>
      <c r="J18" s="25"/>
      <c r="K18" s="12">
        <f t="shared" ref="K18" si="10">SUM(C18:I18)</f>
        <v>3506.59</v>
      </c>
      <c r="L18" s="3">
        <v>0</v>
      </c>
      <c r="M18" s="3">
        <v>309.38</v>
      </c>
      <c r="N18" s="2">
        <f t="shared" ref="N18" si="11">K18-L18-M18-R18</f>
        <v>9.1500000000000909</v>
      </c>
      <c r="O18" s="75">
        <f t="shared" ref="O18" si="12">SUM(L18:N18)</f>
        <v>318.53000000000009</v>
      </c>
      <c r="P18" s="71">
        <f t="shared" ref="P18" si="13">SUM(K18-O18)</f>
        <v>3188.06</v>
      </c>
      <c r="Q18" s="20"/>
      <c r="R18" s="43">
        <v>3188.06</v>
      </c>
    </row>
    <row r="19" spans="1:18" x14ac:dyDescent="0.25">
      <c r="A19" s="35">
        <v>13</v>
      </c>
      <c r="B19" s="44" t="s">
        <v>6</v>
      </c>
      <c r="C19" s="14">
        <f>2305.47+299.71</f>
        <v>2605.1799999999998</v>
      </c>
      <c r="D19" s="22"/>
      <c r="E19" s="22"/>
      <c r="F19" s="22">
        <f>2279.54+759.85</f>
        <v>3039.39</v>
      </c>
      <c r="G19" s="22">
        <f>1139.77+379.92</f>
        <v>1519.69</v>
      </c>
      <c r="H19" s="22"/>
      <c r="I19" s="25"/>
      <c r="J19" s="25"/>
      <c r="K19" s="12">
        <f t="shared" si="8"/>
        <v>7164.26</v>
      </c>
      <c r="L19" s="3">
        <v>0</v>
      </c>
      <c r="M19" s="3">
        <f>305.01+286.73</f>
        <v>591.74</v>
      </c>
      <c r="N19" s="2">
        <f t="shared" si="9"/>
        <v>4518.3700000000008</v>
      </c>
      <c r="O19" s="75">
        <f t="shared" si="1"/>
        <v>5110.1100000000006</v>
      </c>
      <c r="P19" s="71">
        <f t="shared" si="2"/>
        <v>2054.1499999999996</v>
      </c>
      <c r="Q19" s="20"/>
      <c r="R19" s="43">
        <v>2054.15</v>
      </c>
    </row>
    <row r="20" spans="1:18" x14ac:dyDescent="0.25">
      <c r="A20" s="35">
        <v>14</v>
      </c>
      <c r="B20" s="44" t="s">
        <v>72</v>
      </c>
      <c r="C20" s="14">
        <v>4733.57</v>
      </c>
      <c r="D20" s="22"/>
      <c r="E20" s="22"/>
      <c r="F20" s="22"/>
      <c r="G20" s="22"/>
      <c r="H20" s="22"/>
      <c r="I20" s="25"/>
      <c r="J20" s="25"/>
      <c r="K20" s="12">
        <f t="shared" si="8"/>
        <v>4733.57</v>
      </c>
      <c r="L20" s="3">
        <v>0</v>
      </c>
      <c r="M20" s="3">
        <v>464.2</v>
      </c>
      <c r="N20" s="2">
        <f t="shared" ref="N20" si="14">K20-L20-M20-R20</f>
        <v>233.15999999999985</v>
      </c>
      <c r="O20" s="75">
        <f t="shared" ref="O20" si="15">SUM(L20:N20)</f>
        <v>697.3599999999999</v>
      </c>
      <c r="P20" s="71">
        <f t="shared" ref="P20" si="16">SUM(K20-O20)</f>
        <v>4036.21</v>
      </c>
      <c r="Q20" s="20"/>
      <c r="R20" s="43">
        <v>4036.21</v>
      </c>
    </row>
    <row r="21" spans="1:18" x14ac:dyDescent="0.25">
      <c r="A21" s="35">
        <v>15</v>
      </c>
      <c r="B21" s="44" t="s">
        <v>7</v>
      </c>
      <c r="C21" s="14">
        <f>20022.03+13645.01</f>
        <v>33667.040000000001</v>
      </c>
      <c r="D21" s="22">
        <v>27029.74</v>
      </c>
      <c r="E21" s="22"/>
      <c r="F21" s="22"/>
      <c r="G21" s="22"/>
      <c r="H21" s="22"/>
      <c r="I21" s="25"/>
      <c r="J21" s="25"/>
      <c r="K21" s="12">
        <f t="shared" si="8"/>
        <v>60696.78</v>
      </c>
      <c r="L21" s="3">
        <v>11570.26</v>
      </c>
      <c r="M21" s="3">
        <v>988.07</v>
      </c>
      <c r="N21" s="2">
        <f t="shared" si="9"/>
        <v>14767.979999999996</v>
      </c>
      <c r="O21" s="75">
        <f t="shared" si="1"/>
        <v>27326.309999999998</v>
      </c>
      <c r="P21" s="71">
        <f t="shared" si="2"/>
        <v>33370.47</v>
      </c>
      <c r="Q21" s="20"/>
      <c r="R21" s="43">
        <v>33370.47</v>
      </c>
    </row>
    <row r="22" spans="1:18" x14ac:dyDescent="0.25">
      <c r="A22" s="35">
        <v>16</v>
      </c>
      <c r="B22" s="44" t="s">
        <v>8</v>
      </c>
      <c r="C22" s="14">
        <f>17946.22+6675.99</f>
        <v>24622.21</v>
      </c>
      <c r="D22" s="22">
        <v>3589.24</v>
      </c>
      <c r="E22" s="22"/>
      <c r="F22" s="22"/>
      <c r="G22" s="22"/>
      <c r="H22" s="22"/>
      <c r="I22" s="25"/>
      <c r="J22" s="25"/>
      <c r="K22" s="12">
        <f t="shared" si="8"/>
        <v>28211.449999999997</v>
      </c>
      <c r="L22" s="3">
        <v>6525.56</v>
      </c>
      <c r="M22" s="3">
        <v>988.07</v>
      </c>
      <c r="N22" s="2">
        <f t="shared" si="9"/>
        <v>1239.7199999999975</v>
      </c>
      <c r="O22" s="75">
        <f t="shared" si="1"/>
        <v>8753.3499999999985</v>
      </c>
      <c r="P22" s="71">
        <f t="shared" si="2"/>
        <v>19458.099999999999</v>
      </c>
      <c r="Q22" s="20"/>
      <c r="R22" s="43">
        <v>19458.099999999999</v>
      </c>
    </row>
    <row r="23" spans="1:18" x14ac:dyDescent="0.25">
      <c r="A23" s="35">
        <v>17</v>
      </c>
      <c r="B23" s="44" t="s">
        <v>9</v>
      </c>
      <c r="C23" s="14">
        <v>11238.38</v>
      </c>
      <c r="D23" s="22"/>
      <c r="E23" s="22"/>
      <c r="F23" s="22"/>
      <c r="G23" s="22"/>
      <c r="H23" s="22"/>
      <c r="I23" s="25"/>
      <c r="J23" s="25"/>
      <c r="K23" s="12">
        <f t="shared" si="8"/>
        <v>11238.38</v>
      </c>
      <c r="L23" s="3">
        <v>1857.97</v>
      </c>
      <c r="M23" s="3">
        <v>988.07</v>
      </c>
      <c r="N23" s="2">
        <f t="shared" si="9"/>
        <v>2229.6500000000005</v>
      </c>
      <c r="O23" s="75">
        <f t="shared" si="1"/>
        <v>5075.6900000000005</v>
      </c>
      <c r="P23" s="71">
        <f t="shared" si="2"/>
        <v>6162.6899999999987</v>
      </c>
      <c r="Q23" s="20"/>
      <c r="R23" s="43">
        <v>6162.69</v>
      </c>
    </row>
    <row r="24" spans="1:18" x14ac:dyDescent="0.25">
      <c r="A24" s="35">
        <v>18</v>
      </c>
      <c r="B24" s="44" t="s">
        <v>10</v>
      </c>
      <c r="C24" s="14">
        <v>11946.31</v>
      </c>
      <c r="D24" s="22"/>
      <c r="E24" s="22"/>
      <c r="F24" s="22"/>
      <c r="G24" s="22"/>
      <c r="H24" s="22"/>
      <c r="I24" s="25"/>
      <c r="J24" s="25"/>
      <c r="K24" s="12">
        <f t="shared" si="8"/>
        <v>11946.31</v>
      </c>
      <c r="L24" s="3">
        <v>2052.65</v>
      </c>
      <c r="M24" s="3">
        <v>988.07</v>
      </c>
      <c r="N24" s="2">
        <f t="shared" si="9"/>
        <v>454.82999999999993</v>
      </c>
      <c r="O24" s="75">
        <f t="shared" si="1"/>
        <v>3495.55</v>
      </c>
      <c r="P24" s="71">
        <f>SUM(K24-O24)</f>
        <v>8450.7599999999984</v>
      </c>
      <c r="Q24" s="20"/>
      <c r="R24" s="43">
        <v>8450.76</v>
      </c>
    </row>
    <row r="25" spans="1:18" x14ac:dyDescent="0.25">
      <c r="A25" s="35">
        <v>19</v>
      </c>
      <c r="B25" s="44" t="s">
        <v>11</v>
      </c>
      <c r="C25" s="14">
        <v>12085.04</v>
      </c>
      <c r="D25" s="22"/>
      <c r="E25" s="22"/>
      <c r="F25" s="22"/>
      <c r="G25" s="22"/>
      <c r="H25" s="22"/>
      <c r="I25" s="25"/>
      <c r="J25" s="25"/>
      <c r="K25" s="12">
        <f t="shared" si="8"/>
        <v>12085.04</v>
      </c>
      <c r="L25" s="3">
        <v>2142.94</v>
      </c>
      <c r="M25" s="3">
        <f>200.95+787.12</f>
        <v>988.06999999999994</v>
      </c>
      <c r="N25" s="2">
        <f t="shared" si="9"/>
        <v>9.3500000000003638</v>
      </c>
      <c r="O25" s="75">
        <f t="shared" si="1"/>
        <v>3140.3600000000006</v>
      </c>
      <c r="P25" s="71">
        <f t="shared" si="2"/>
        <v>8944.68</v>
      </c>
      <c r="Q25" s="20"/>
      <c r="R25" s="43">
        <v>8944.68</v>
      </c>
    </row>
    <row r="26" spans="1:18" x14ac:dyDescent="0.25">
      <c r="A26" s="35">
        <v>20</v>
      </c>
      <c r="B26" s="44" t="s">
        <v>12</v>
      </c>
      <c r="C26" s="14">
        <v>10553.99</v>
      </c>
      <c r="D26" s="22"/>
      <c r="E26" s="22"/>
      <c r="F26" s="22"/>
      <c r="G26" s="22"/>
      <c r="H26" s="22"/>
      <c r="I26" s="25"/>
      <c r="J26" s="25"/>
      <c r="K26" s="12">
        <f t="shared" si="8"/>
        <v>10553.99</v>
      </c>
      <c r="L26" s="3">
        <v>1721.9</v>
      </c>
      <c r="M26" s="3">
        <v>988.07</v>
      </c>
      <c r="N26" s="2">
        <f t="shared" si="9"/>
        <v>295.80000000000018</v>
      </c>
      <c r="O26" s="75">
        <f t="shared" si="1"/>
        <v>3005.7700000000004</v>
      </c>
      <c r="P26" s="71">
        <f t="shared" si="2"/>
        <v>7548.2199999999993</v>
      </c>
      <c r="Q26" s="20"/>
      <c r="R26" s="43">
        <v>7548.22</v>
      </c>
    </row>
    <row r="27" spans="1:18" x14ac:dyDescent="0.25">
      <c r="A27" s="35">
        <v>21</v>
      </c>
      <c r="B27" s="44" t="s">
        <v>50</v>
      </c>
      <c r="C27" s="14">
        <f>7457.54+522.03</f>
        <v>7979.57</v>
      </c>
      <c r="D27" s="22"/>
      <c r="E27" s="22"/>
      <c r="F27" s="22"/>
      <c r="G27" s="22"/>
      <c r="H27" s="22"/>
      <c r="I27" s="25"/>
      <c r="J27" s="25"/>
      <c r="K27" s="12">
        <f>SUM(C27:I27)</f>
        <v>7979.57</v>
      </c>
      <c r="L27" s="3">
        <v>1033.03</v>
      </c>
      <c r="M27" s="3">
        <v>918.64</v>
      </c>
      <c r="N27" s="2">
        <f t="shared" ref="N27" si="17">K27-L27-M27-R27</f>
        <v>52.849999999999454</v>
      </c>
      <c r="O27" s="75">
        <f t="shared" ref="O27" si="18">SUM(L27:N27)</f>
        <v>2004.5199999999995</v>
      </c>
      <c r="P27" s="71">
        <f>SUM(K27-O27)</f>
        <v>5975.05</v>
      </c>
      <c r="Q27" s="20"/>
      <c r="R27" s="43">
        <v>5975.05</v>
      </c>
    </row>
    <row r="28" spans="1:18" x14ac:dyDescent="0.25">
      <c r="A28" s="35">
        <v>22</v>
      </c>
      <c r="B28" s="44" t="s">
        <v>13</v>
      </c>
      <c r="C28" s="14">
        <v>4449.41</v>
      </c>
      <c r="D28" s="22"/>
      <c r="E28" s="22"/>
      <c r="F28" s="22"/>
      <c r="G28" s="22"/>
      <c r="H28" s="22"/>
      <c r="I28" s="25"/>
      <c r="J28" s="25"/>
      <c r="K28" s="12">
        <f>SUM(C28:I28)</f>
        <v>4449.41</v>
      </c>
      <c r="L28" s="3">
        <v>0</v>
      </c>
      <c r="M28" s="3">
        <v>424.41</v>
      </c>
      <c r="N28" s="2">
        <f t="shared" si="9"/>
        <v>1290.5900000000001</v>
      </c>
      <c r="O28" s="75">
        <f t="shared" si="1"/>
        <v>1715.0000000000002</v>
      </c>
      <c r="P28" s="71">
        <f>SUM(K28-O28)</f>
        <v>2734.41</v>
      </c>
      <c r="Q28" s="20"/>
      <c r="R28" s="43">
        <v>2734.41</v>
      </c>
    </row>
    <row r="29" spans="1:18" x14ac:dyDescent="0.25">
      <c r="A29" s="35">
        <v>23</v>
      </c>
      <c r="B29" s="44" t="s">
        <v>73</v>
      </c>
      <c r="C29" s="14">
        <v>4734.03</v>
      </c>
      <c r="D29" s="22"/>
      <c r="E29" s="22"/>
      <c r="F29" s="22"/>
      <c r="G29" s="22"/>
      <c r="H29" s="22"/>
      <c r="I29" s="25"/>
      <c r="J29" s="25"/>
      <c r="K29" s="12">
        <f>SUM(C29:I29)</f>
        <v>4734.03</v>
      </c>
      <c r="L29" s="3">
        <v>0</v>
      </c>
      <c r="M29" s="3">
        <v>464.26</v>
      </c>
      <c r="N29" s="2">
        <f t="shared" ref="N29:N30" si="19">K29-L29-M29-R29</f>
        <v>49.349999999999454</v>
      </c>
      <c r="O29" s="75">
        <f t="shared" ref="O29:O30" si="20">SUM(L29:N29)</f>
        <v>513.60999999999945</v>
      </c>
      <c r="P29" s="71">
        <f>SUM(K29-O29)</f>
        <v>4220.42</v>
      </c>
      <c r="Q29" s="20"/>
      <c r="R29" s="43">
        <v>4220.42</v>
      </c>
    </row>
    <row r="30" spans="1:18" x14ac:dyDescent="0.25">
      <c r="A30" s="35">
        <v>24</v>
      </c>
      <c r="B30" s="44" t="s">
        <v>74</v>
      </c>
      <c r="C30" s="14">
        <v>4640.76</v>
      </c>
      <c r="D30" s="22"/>
      <c r="E30" s="22"/>
      <c r="F30" s="22"/>
      <c r="G30" s="22"/>
      <c r="H30" s="22"/>
      <c r="I30" s="25"/>
      <c r="J30" s="25"/>
      <c r="K30" s="12">
        <f>SUM(C30:I30)</f>
        <v>4640.76</v>
      </c>
      <c r="L30" s="3">
        <v>0</v>
      </c>
      <c r="M30" s="3">
        <v>451.2</v>
      </c>
      <c r="N30" s="2">
        <f t="shared" si="19"/>
        <v>49.350000000000364</v>
      </c>
      <c r="O30" s="75">
        <f t="shared" si="20"/>
        <v>500.55000000000035</v>
      </c>
      <c r="P30" s="71">
        <f>SUM(K30-O30)</f>
        <v>4140.21</v>
      </c>
      <c r="Q30" s="20"/>
      <c r="R30" s="43">
        <v>4140.21</v>
      </c>
    </row>
    <row r="31" spans="1:18" x14ac:dyDescent="0.25">
      <c r="A31" s="35">
        <v>25</v>
      </c>
      <c r="B31" s="44" t="s">
        <v>14</v>
      </c>
      <c r="C31" s="14">
        <f>8606.45+1755.72</f>
        <v>10362.17</v>
      </c>
      <c r="D31" s="22">
        <v>1721.29</v>
      </c>
      <c r="E31" s="22"/>
      <c r="F31" s="22"/>
      <c r="G31" s="22"/>
      <c r="H31" s="22"/>
      <c r="I31" s="25"/>
      <c r="J31" s="25"/>
      <c r="K31" s="12">
        <f>SUM(C31:I31)</f>
        <v>12083.46</v>
      </c>
      <c r="L31" s="3">
        <v>2142.5</v>
      </c>
      <c r="M31" s="3">
        <v>988.07</v>
      </c>
      <c r="N31" s="2">
        <f t="shared" si="9"/>
        <v>81.349999999998545</v>
      </c>
      <c r="O31" s="75">
        <f t="shared" si="1"/>
        <v>3211.9199999999987</v>
      </c>
      <c r="P31" s="71">
        <f t="shared" si="2"/>
        <v>8871.5400000000009</v>
      </c>
      <c r="Q31" s="20"/>
      <c r="R31" s="43">
        <v>8871.5400000000009</v>
      </c>
    </row>
    <row r="32" spans="1:18" x14ac:dyDescent="0.25">
      <c r="A32" s="35">
        <v>26</v>
      </c>
      <c r="B32" s="44" t="s">
        <v>15</v>
      </c>
      <c r="C32" s="14">
        <f>9245.01+3217.26</f>
        <v>12462.27</v>
      </c>
      <c r="D32" s="22">
        <v>1849</v>
      </c>
      <c r="E32" s="22"/>
      <c r="F32" s="22">
        <f>14311.27+4770.42</f>
        <v>19081.690000000002</v>
      </c>
      <c r="G32" s="22"/>
      <c r="H32" s="22">
        <v>14311.27</v>
      </c>
      <c r="I32" s="25"/>
      <c r="J32" s="25"/>
      <c r="K32" s="12">
        <f t="shared" ref="K32:K38" si="21">SUM(C32:I32)</f>
        <v>47704.23000000001</v>
      </c>
      <c r="L32" s="3">
        <f>2859.89+4067.02</f>
        <v>6926.91</v>
      </c>
      <c r="M32" s="3">
        <v>988.07</v>
      </c>
      <c r="N32" s="2">
        <f t="shared" si="9"/>
        <v>28583.890000000007</v>
      </c>
      <c r="O32" s="75">
        <f t="shared" si="1"/>
        <v>36498.87000000001</v>
      </c>
      <c r="P32" s="71">
        <f t="shared" si="2"/>
        <v>11205.36</v>
      </c>
      <c r="Q32" s="20"/>
      <c r="R32" s="43">
        <v>11205.36</v>
      </c>
    </row>
    <row r="33" spans="1:18" x14ac:dyDescent="0.25">
      <c r="A33" s="35">
        <v>27</v>
      </c>
      <c r="B33" s="44" t="s">
        <v>51</v>
      </c>
      <c r="C33" s="14">
        <f>7947.91+1526</f>
        <v>9473.91</v>
      </c>
      <c r="D33" s="22">
        <v>1589.58</v>
      </c>
      <c r="E33" s="22"/>
      <c r="F33" s="22"/>
      <c r="G33" s="22"/>
      <c r="H33" s="22"/>
      <c r="I33" s="25"/>
      <c r="J33" s="25"/>
      <c r="K33" s="12">
        <f t="shared" si="21"/>
        <v>11063.49</v>
      </c>
      <c r="L33" s="3">
        <v>1862.01</v>
      </c>
      <c r="M33" s="3">
        <v>988.07</v>
      </c>
      <c r="N33" s="2">
        <f t="shared" si="9"/>
        <v>4419.24</v>
      </c>
      <c r="O33" s="75">
        <f t="shared" si="1"/>
        <v>7269.32</v>
      </c>
      <c r="P33" s="71">
        <f t="shared" si="2"/>
        <v>3794.17</v>
      </c>
      <c r="Q33" s="20"/>
      <c r="R33" s="43">
        <v>3794.17</v>
      </c>
    </row>
    <row r="34" spans="1:18" x14ac:dyDescent="0.25">
      <c r="A34" s="35">
        <v>28</v>
      </c>
      <c r="B34" s="44" t="s">
        <v>16</v>
      </c>
      <c r="C34" s="14">
        <f>2571.39+413.79</f>
        <v>2985.18</v>
      </c>
      <c r="D34" s="22">
        <f>514.28+362.59</f>
        <v>876.86999999999989</v>
      </c>
      <c r="E34" s="22"/>
      <c r="F34" s="22">
        <f>6911.89+2303.96</f>
        <v>9215.85</v>
      </c>
      <c r="G34" s="22">
        <f>3455.94+1151.98</f>
        <v>4607.92</v>
      </c>
      <c r="H34" s="22">
        <v>5183.92</v>
      </c>
      <c r="I34" s="25"/>
      <c r="J34" s="25"/>
      <c r="K34" s="12">
        <f t="shared" si="21"/>
        <v>22869.739999999998</v>
      </c>
      <c r="L34" s="3">
        <v>1249.6400000000001</v>
      </c>
      <c r="M34" s="3">
        <v>988.07</v>
      </c>
      <c r="N34" s="2">
        <f t="shared" si="9"/>
        <v>19776.36</v>
      </c>
      <c r="O34" s="75">
        <f t="shared" si="1"/>
        <v>22014.07</v>
      </c>
      <c r="P34" s="71">
        <f>SUM(K34-O34)</f>
        <v>855.66999999999825</v>
      </c>
      <c r="Q34" s="20"/>
      <c r="R34" s="43">
        <v>855.67</v>
      </c>
    </row>
    <row r="35" spans="1:18" x14ac:dyDescent="0.25">
      <c r="A35" s="35">
        <v>29</v>
      </c>
      <c r="B35" s="44" t="s">
        <v>77</v>
      </c>
      <c r="C35" s="14">
        <v>6197.53</v>
      </c>
      <c r="D35" s="22">
        <v>1239.51</v>
      </c>
      <c r="E35" s="22"/>
      <c r="F35" s="22"/>
      <c r="G35" s="22"/>
      <c r="H35" s="22"/>
      <c r="I35" s="25"/>
      <c r="J35" s="25"/>
      <c r="K35" s="12">
        <f t="shared" si="21"/>
        <v>7437.04</v>
      </c>
      <c r="L35" s="3">
        <v>800.44</v>
      </c>
      <c r="M35" s="3">
        <v>842.68</v>
      </c>
      <c r="N35" s="2">
        <f t="shared" si="9"/>
        <v>440.69000000000051</v>
      </c>
      <c r="O35" s="75">
        <f t="shared" si="1"/>
        <v>2083.8100000000004</v>
      </c>
      <c r="P35" s="71">
        <f>SUM(K35-O35)</f>
        <v>5353.23</v>
      </c>
      <c r="Q35" s="20"/>
      <c r="R35" s="43">
        <v>5353.23</v>
      </c>
    </row>
    <row r="36" spans="1:18" x14ac:dyDescent="0.25">
      <c r="A36" s="35">
        <v>30</v>
      </c>
      <c r="B36" s="44" t="s">
        <v>48</v>
      </c>
      <c r="C36" s="14">
        <f>1365.25+109.22</f>
        <v>1474.47</v>
      </c>
      <c r="D36" s="22"/>
      <c r="E36" s="22"/>
      <c r="F36" s="22">
        <f>2546.81+848.94</f>
        <v>3395.75</v>
      </c>
      <c r="G36" s="22"/>
      <c r="H36" s="22"/>
      <c r="I36" s="25"/>
      <c r="J36" s="25"/>
      <c r="K36" s="12">
        <f t="shared" si="21"/>
        <v>4870.22</v>
      </c>
      <c r="L36" s="3">
        <v>0</v>
      </c>
      <c r="M36" s="3">
        <f>158.79+324.54</f>
        <v>483.33000000000004</v>
      </c>
      <c r="N36" s="2">
        <f t="shared" ref="N36" si="22">K36-L36-M36-R36</f>
        <v>3139.1800000000003</v>
      </c>
      <c r="O36" s="75">
        <f t="shared" ref="O36" si="23">SUM(L36:N36)</f>
        <v>3622.51</v>
      </c>
      <c r="P36" s="71">
        <f t="shared" ref="P36" si="24">SUM(K36-O36)</f>
        <v>1247.71</v>
      </c>
      <c r="Q36" s="20"/>
      <c r="R36" s="43">
        <v>1247.71</v>
      </c>
    </row>
    <row r="37" spans="1:18" x14ac:dyDescent="0.25">
      <c r="A37" s="35">
        <v>31</v>
      </c>
      <c r="B37" s="44" t="s">
        <v>17</v>
      </c>
      <c r="C37" s="14">
        <f>5018.59+890</f>
        <v>5908.59</v>
      </c>
      <c r="D37" s="22">
        <v>543.88</v>
      </c>
      <c r="E37" s="22"/>
      <c r="F37" s="22"/>
      <c r="G37" s="22"/>
      <c r="H37" s="22"/>
      <c r="I37" s="25"/>
      <c r="J37" s="25"/>
      <c r="K37" s="12">
        <f t="shared" si="21"/>
        <v>6452.47</v>
      </c>
      <c r="L37" s="3">
        <v>552.36</v>
      </c>
      <c r="M37" s="3">
        <v>704.84</v>
      </c>
      <c r="N37" s="2">
        <f t="shared" si="9"/>
        <v>893.5</v>
      </c>
      <c r="O37" s="75">
        <f t="shared" si="1"/>
        <v>2150.6999999999998</v>
      </c>
      <c r="P37" s="71">
        <f t="shared" si="2"/>
        <v>4301.7700000000004</v>
      </c>
      <c r="Q37" s="20"/>
      <c r="R37" s="43">
        <v>4301.7700000000004</v>
      </c>
    </row>
    <row r="38" spans="1:18" x14ac:dyDescent="0.25">
      <c r="A38" s="35">
        <v>32</v>
      </c>
      <c r="B38" s="44" t="s">
        <v>18</v>
      </c>
      <c r="C38" s="14">
        <f>18861.66+6790.2</f>
        <v>25651.86</v>
      </c>
      <c r="D38" s="22">
        <v>3772.33</v>
      </c>
      <c r="E38" s="22"/>
      <c r="F38" s="22"/>
      <c r="G38" s="22"/>
      <c r="H38" s="22"/>
      <c r="I38" s="25"/>
      <c r="J38" s="25"/>
      <c r="K38" s="12">
        <f t="shared" si="21"/>
        <v>29424.190000000002</v>
      </c>
      <c r="L38" s="3">
        <v>6806.93</v>
      </c>
      <c r="M38" s="3">
        <f>861.19+126.88</f>
        <v>988.07</v>
      </c>
      <c r="N38" s="2">
        <f t="shared" si="9"/>
        <v>102.35000000000218</v>
      </c>
      <c r="O38" s="75">
        <f t="shared" si="1"/>
        <v>7897.3500000000022</v>
      </c>
      <c r="P38" s="71">
        <f t="shared" si="2"/>
        <v>21526.84</v>
      </c>
      <c r="Q38" s="20"/>
      <c r="R38" s="43">
        <v>21526.84</v>
      </c>
    </row>
    <row r="39" spans="1:18" x14ac:dyDescent="0.25">
      <c r="A39" s="35">
        <v>33</v>
      </c>
      <c r="B39" s="45" t="s">
        <v>67</v>
      </c>
      <c r="C39" s="27">
        <v>5023.8</v>
      </c>
      <c r="D39" s="23"/>
      <c r="E39" s="23"/>
      <c r="F39" s="23"/>
      <c r="G39" s="22"/>
      <c r="H39" s="22"/>
      <c r="I39" s="25"/>
      <c r="J39" s="25"/>
      <c r="K39" s="28">
        <f t="shared" ref="K39" si="25">SUM(C39:I39)</f>
        <v>5023.8</v>
      </c>
      <c r="L39" s="29">
        <v>0</v>
      </c>
      <c r="M39" s="29">
        <v>504.83</v>
      </c>
      <c r="N39" s="30">
        <f t="shared" ref="N39" si="26">K39-L39-M39-R39</f>
        <v>233.15999999999985</v>
      </c>
      <c r="O39" s="75">
        <f t="shared" ref="O39" si="27">SUM(L39:N39)</f>
        <v>737.98999999999978</v>
      </c>
      <c r="P39" s="72">
        <f t="shared" ref="P39" si="28">SUM(K39-O39)</f>
        <v>4285.8100000000004</v>
      </c>
      <c r="Q39" s="20"/>
      <c r="R39" s="43">
        <v>4285.8100000000004</v>
      </c>
    </row>
    <row r="40" spans="1:18" x14ac:dyDescent="0.25">
      <c r="A40" s="35">
        <v>34</v>
      </c>
      <c r="B40" s="44" t="s">
        <v>19</v>
      </c>
      <c r="C40" s="14">
        <f>6063.01+1859.2</f>
        <v>7922.21</v>
      </c>
      <c r="D40" s="22">
        <v>1087.77</v>
      </c>
      <c r="E40" s="22"/>
      <c r="F40" s="22"/>
      <c r="G40" s="22"/>
      <c r="H40" s="22"/>
      <c r="I40" s="25"/>
      <c r="J40" s="25"/>
      <c r="K40" s="12">
        <f t="shared" ref="K40:K47" si="29">SUM(C40:I40)</f>
        <v>9009.98</v>
      </c>
      <c r="L40" s="3">
        <v>1297.3</v>
      </c>
      <c r="M40" s="3">
        <v>988.07</v>
      </c>
      <c r="N40" s="2">
        <f t="shared" ref="N40:N59" si="30">K40-L40-M40-R40</f>
        <v>878.60999999999967</v>
      </c>
      <c r="O40" s="75">
        <f t="shared" si="1"/>
        <v>3163.9799999999996</v>
      </c>
      <c r="P40" s="71">
        <f t="shared" si="2"/>
        <v>5846</v>
      </c>
      <c r="Q40" s="20"/>
      <c r="R40" s="43">
        <v>5846</v>
      </c>
    </row>
    <row r="41" spans="1:18" x14ac:dyDescent="0.25">
      <c r="A41" s="35">
        <v>35</v>
      </c>
      <c r="B41" s="44" t="s">
        <v>20</v>
      </c>
      <c r="C41" s="14">
        <f>12766.35+2425.61</f>
        <v>15191.960000000001</v>
      </c>
      <c r="D41" s="22"/>
      <c r="E41" s="22"/>
      <c r="F41" s="22"/>
      <c r="G41" s="22"/>
      <c r="H41" s="22"/>
      <c r="I41" s="25">
        <v>5966.23</v>
      </c>
      <c r="J41" s="25"/>
      <c r="K41" s="12">
        <f t="shared" si="29"/>
        <v>21158.190000000002</v>
      </c>
      <c r="L41" s="3">
        <v>4585.92</v>
      </c>
      <c r="M41" s="3">
        <f>689.55+298.52</f>
        <v>988.06999999999994</v>
      </c>
      <c r="N41" s="2">
        <f t="shared" si="30"/>
        <v>911.38000000000466</v>
      </c>
      <c r="O41" s="75">
        <f t="shared" si="1"/>
        <v>6485.3700000000044</v>
      </c>
      <c r="P41" s="71">
        <f t="shared" si="2"/>
        <v>14672.819999999998</v>
      </c>
      <c r="Q41" s="20"/>
      <c r="R41" s="43">
        <v>14672.82</v>
      </c>
    </row>
    <row r="42" spans="1:18" x14ac:dyDescent="0.25">
      <c r="A42" s="35">
        <v>36</v>
      </c>
      <c r="B42" s="44" t="s">
        <v>21</v>
      </c>
      <c r="C42" s="14">
        <f>8735.21+4740.15</f>
        <v>13475.359999999999</v>
      </c>
      <c r="D42" s="22">
        <v>7610.13</v>
      </c>
      <c r="E42" s="22"/>
      <c r="F42" s="22"/>
      <c r="G42" s="22"/>
      <c r="H42" s="22"/>
      <c r="I42" s="25"/>
      <c r="J42" s="25"/>
      <c r="K42" s="12">
        <f t="shared" si="29"/>
        <v>21085.489999999998</v>
      </c>
      <c r="L42" s="3">
        <v>4618.0600000000004</v>
      </c>
      <c r="M42" s="3">
        <v>988.07</v>
      </c>
      <c r="N42" s="2">
        <f>K42-L42-M42-R42</f>
        <v>1064.8199999999961</v>
      </c>
      <c r="O42" s="75">
        <f>SUM(L42:N42)</f>
        <v>6670.9499999999962</v>
      </c>
      <c r="P42" s="71">
        <f t="shared" si="2"/>
        <v>14414.54</v>
      </c>
      <c r="Q42" s="20"/>
      <c r="R42" s="43">
        <v>14414.54</v>
      </c>
    </row>
    <row r="43" spans="1:18" x14ac:dyDescent="0.25">
      <c r="A43" s="35">
        <v>37</v>
      </c>
      <c r="B43" s="44" t="s">
        <v>22</v>
      </c>
      <c r="C43" s="14">
        <f>8353.33+1904.56</f>
        <v>10257.89</v>
      </c>
      <c r="D43" s="22">
        <v>1670.67</v>
      </c>
      <c r="E43" s="22"/>
      <c r="F43" s="22"/>
      <c r="G43" s="22"/>
      <c r="H43" s="22"/>
      <c r="I43" s="25"/>
      <c r="J43" s="25"/>
      <c r="K43" s="12">
        <f t="shared" si="29"/>
        <v>11928.56</v>
      </c>
      <c r="L43" s="3">
        <v>1995.63</v>
      </c>
      <c r="M43" s="3">
        <f>36.45+951.62</f>
        <v>988.07</v>
      </c>
      <c r="N43" s="2">
        <f t="shared" si="30"/>
        <v>755.73000000000047</v>
      </c>
      <c r="O43" s="75">
        <f t="shared" si="1"/>
        <v>3739.4300000000007</v>
      </c>
      <c r="P43" s="71">
        <f t="shared" si="2"/>
        <v>8189.1299999999992</v>
      </c>
      <c r="Q43" s="20"/>
      <c r="R43" s="43">
        <v>8189.13</v>
      </c>
    </row>
    <row r="44" spans="1:18" x14ac:dyDescent="0.25">
      <c r="A44" s="35">
        <v>38</v>
      </c>
      <c r="B44" s="44" t="s">
        <v>71</v>
      </c>
      <c r="C44" s="14">
        <v>3577.08</v>
      </c>
      <c r="D44" s="22"/>
      <c r="E44" s="22"/>
      <c r="F44" s="22"/>
      <c r="G44" s="22"/>
      <c r="H44" s="22"/>
      <c r="I44" s="25"/>
      <c r="J44" s="25"/>
      <c r="K44" s="12">
        <f t="shared" si="29"/>
        <v>3577.08</v>
      </c>
      <c r="L44" s="3">
        <v>0</v>
      </c>
      <c r="M44" s="3">
        <v>317.83</v>
      </c>
      <c r="N44" s="2">
        <f t="shared" ref="N44" si="31">K44-L44-M44-R44</f>
        <v>66.710000000000036</v>
      </c>
      <c r="O44" s="75">
        <f t="shared" ref="O44" si="32">SUM(L44:N44)</f>
        <v>384.54</v>
      </c>
      <c r="P44" s="71">
        <f t="shared" ref="P44" si="33">SUM(K44-O44)</f>
        <v>3192.54</v>
      </c>
      <c r="Q44" s="20"/>
      <c r="R44" s="43">
        <v>3192.54</v>
      </c>
    </row>
    <row r="45" spans="1:18" x14ac:dyDescent="0.25">
      <c r="A45" s="35">
        <v>39</v>
      </c>
      <c r="B45" s="44" t="s">
        <v>23</v>
      </c>
      <c r="C45" s="14">
        <f>8930.5+3536.42</f>
        <v>12466.92</v>
      </c>
      <c r="D45" s="22">
        <v>1786.07</v>
      </c>
      <c r="E45" s="22"/>
      <c r="F45" s="22"/>
      <c r="G45" s="22"/>
      <c r="H45" s="22"/>
      <c r="I45" s="25"/>
      <c r="J45" s="25"/>
      <c r="K45" s="12">
        <f t="shared" si="29"/>
        <v>14252.99</v>
      </c>
      <c r="L45" s="3">
        <v>2686.94</v>
      </c>
      <c r="M45" s="3">
        <v>988.07</v>
      </c>
      <c r="N45" s="2">
        <f t="shared" si="30"/>
        <v>2330.7700000000004</v>
      </c>
      <c r="O45" s="75">
        <f t="shared" si="1"/>
        <v>6005.7800000000007</v>
      </c>
      <c r="P45" s="71">
        <f>SUM(K45-O45)</f>
        <v>8247.2099999999991</v>
      </c>
      <c r="Q45" s="20"/>
      <c r="R45" s="43">
        <v>8247.2099999999991</v>
      </c>
    </row>
    <row r="46" spans="1:18" x14ac:dyDescent="0.25">
      <c r="A46" s="35">
        <v>40</v>
      </c>
      <c r="B46" s="44" t="s">
        <v>24</v>
      </c>
      <c r="C46" s="14">
        <f>8188.74+1572.24</f>
        <v>9760.98</v>
      </c>
      <c r="D46" s="22">
        <v>1637.75</v>
      </c>
      <c r="E46" s="22"/>
      <c r="F46" s="22"/>
      <c r="G46" s="22"/>
      <c r="H46" s="22"/>
      <c r="I46" s="25"/>
      <c r="J46" s="25"/>
      <c r="K46" s="12">
        <f t="shared" si="29"/>
        <v>11398.73</v>
      </c>
      <c r="L46" s="3">
        <v>1954.2</v>
      </c>
      <c r="M46" s="3">
        <v>988.07</v>
      </c>
      <c r="N46" s="2">
        <f t="shared" si="30"/>
        <v>1030.4699999999993</v>
      </c>
      <c r="O46" s="75">
        <f t="shared" si="1"/>
        <v>3972.7399999999993</v>
      </c>
      <c r="P46" s="71">
        <f>SUM(K46-O46)</f>
        <v>7425.99</v>
      </c>
      <c r="Q46" s="20"/>
      <c r="R46" s="43">
        <v>7425.99</v>
      </c>
    </row>
    <row r="47" spans="1:18" x14ac:dyDescent="0.25">
      <c r="A47" s="35">
        <v>41</v>
      </c>
      <c r="B47" s="44" t="s">
        <v>79</v>
      </c>
      <c r="C47" s="14">
        <v>6197.53</v>
      </c>
      <c r="D47" s="22">
        <v>1239.51</v>
      </c>
      <c r="E47" s="22"/>
      <c r="F47" s="22"/>
      <c r="G47" s="22"/>
      <c r="H47" s="22"/>
      <c r="I47" s="25"/>
      <c r="J47" s="25"/>
      <c r="K47" s="12">
        <f t="shared" si="29"/>
        <v>7437.04</v>
      </c>
      <c r="L47" s="3">
        <v>904.72</v>
      </c>
      <c r="M47" s="3">
        <v>842.68</v>
      </c>
      <c r="N47" s="2">
        <f t="shared" si="30"/>
        <v>940.17999999999938</v>
      </c>
      <c r="O47" s="75">
        <f t="shared" si="1"/>
        <v>2687.5799999999995</v>
      </c>
      <c r="P47" s="71">
        <f t="shared" ref="P47" si="34">SUM(K47-O47)</f>
        <v>4749.4600000000009</v>
      </c>
      <c r="Q47" s="20"/>
      <c r="R47" s="43">
        <v>4749.46</v>
      </c>
    </row>
    <row r="48" spans="1:18" x14ac:dyDescent="0.25">
      <c r="A48" s="35">
        <v>42</v>
      </c>
      <c r="B48" s="44" t="s">
        <v>25</v>
      </c>
      <c r="C48" s="14">
        <f>8107.66+1929.62</f>
        <v>10037.279999999999</v>
      </c>
      <c r="D48" s="22">
        <v>3243.06</v>
      </c>
      <c r="E48" s="22"/>
      <c r="F48" s="22"/>
      <c r="G48" s="22"/>
      <c r="H48" s="22"/>
      <c r="I48" s="25"/>
      <c r="J48" s="25"/>
      <c r="K48" s="12">
        <f t="shared" ref="K48:K56" si="35">SUM(C48:I48)</f>
        <v>13280.339999999998</v>
      </c>
      <c r="L48" s="3">
        <v>2419.5100000000002</v>
      </c>
      <c r="M48" s="3">
        <f>417.1+570.97</f>
        <v>988.07</v>
      </c>
      <c r="N48" s="2">
        <f t="shared" si="30"/>
        <v>304.65999999999804</v>
      </c>
      <c r="O48" s="75">
        <f t="shared" si="1"/>
        <v>3712.2399999999984</v>
      </c>
      <c r="P48" s="71">
        <f t="shared" si="2"/>
        <v>9568.1</v>
      </c>
      <c r="Q48" s="20"/>
      <c r="R48" s="43">
        <v>9568.1</v>
      </c>
    </row>
    <row r="49" spans="1:18" x14ac:dyDescent="0.25">
      <c r="A49" s="35">
        <v>43</v>
      </c>
      <c r="B49" s="44" t="s">
        <v>80</v>
      </c>
      <c r="C49" s="14">
        <v>3337.38</v>
      </c>
      <c r="D49" s="22"/>
      <c r="E49" s="22"/>
      <c r="F49" s="22"/>
      <c r="G49" s="22"/>
      <c r="H49" s="22"/>
      <c r="I49" s="25"/>
      <c r="J49" s="25"/>
      <c r="K49" s="12">
        <f t="shared" ref="K49" si="36">SUM(C49:I49)</f>
        <v>3337.38</v>
      </c>
      <c r="L49" s="3">
        <v>0</v>
      </c>
      <c r="M49" s="3">
        <v>289.07</v>
      </c>
      <c r="N49" s="2">
        <f t="shared" ref="N49" si="37">K49-L49-M49-R49</f>
        <v>249.59000000000015</v>
      </c>
      <c r="O49" s="75">
        <f t="shared" ref="O49" si="38">SUM(L49:N49)</f>
        <v>538.66000000000008</v>
      </c>
      <c r="P49" s="71">
        <f t="shared" ref="P49" si="39">SUM(K49-O49)</f>
        <v>2798.7200000000003</v>
      </c>
      <c r="Q49" s="20"/>
      <c r="R49" s="43">
        <v>2798.72</v>
      </c>
    </row>
    <row r="50" spans="1:18" x14ac:dyDescent="0.25">
      <c r="A50" s="35">
        <v>44</v>
      </c>
      <c r="B50" s="44" t="s">
        <v>26</v>
      </c>
      <c r="C50" s="14">
        <f>8405.24+1309.39</f>
        <v>9714.6299999999992</v>
      </c>
      <c r="D50" s="22">
        <v>1667.01</v>
      </c>
      <c r="E50" s="22"/>
      <c r="F50" s="22"/>
      <c r="G50" s="22"/>
      <c r="H50" s="22"/>
      <c r="I50" s="25"/>
      <c r="J50" s="25"/>
      <c r="K50" s="12">
        <f t="shared" si="35"/>
        <v>11381.64</v>
      </c>
      <c r="L50" s="3">
        <v>1897.36</v>
      </c>
      <c r="M50" s="3">
        <v>988.07</v>
      </c>
      <c r="N50" s="2">
        <f t="shared" si="30"/>
        <v>986.65999999999894</v>
      </c>
      <c r="O50" s="75">
        <f t="shared" si="1"/>
        <v>3872.0899999999988</v>
      </c>
      <c r="P50" s="71">
        <f t="shared" si="2"/>
        <v>7509.5500000000011</v>
      </c>
      <c r="Q50" s="20"/>
      <c r="R50" s="43">
        <v>7509.55</v>
      </c>
    </row>
    <row r="51" spans="1:18" x14ac:dyDescent="0.25">
      <c r="A51" s="35">
        <v>45</v>
      </c>
      <c r="B51" s="44" t="s">
        <v>47</v>
      </c>
      <c r="C51" s="14">
        <v>4021.28</v>
      </c>
      <c r="D51" s="22"/>
      <c r="E51" s="22"/>
      <c r="F51" s="22"/>
      <c r="G51" s="22"/>
      <c r="H51" s="22"/>
      <c r="I51" s="25"/>
      <c r="J51" s="25"/>
      <c r="K51" s="12">
        <f t="shared" si="35"/>
        <v>4021.28</v>
      </c>
      <c r="L51" s="3">
        <v>0</v>
      </c>
      <c r="M51" s="3">
        <v>371.14</v>
      </c>
      <c r="N51" s="2">
        <f t="shared" ref="N51" si="40">K51-L51-M51-R51</f>
        <v>403.55000000000018</v>
      </c>
      <c r="O51" s="75">
        <f t="shared" ref="O51" si="41">SUM(L51:N51)</f>
        <v>774.69000000000017</v>
      </c>
      <c r="P51" s="71">
        <f t="shared" ref="P51" si="42">SUM(K51-O51)</f>
        <v>3246.59</v>
      </c>
      <c r="Q51" s="20"/>
      <c r="R51" s="43">
        <v>3246.59</v>
      </c>
    </row>
    <row r="52" spans="1:18" x14ac:dyDescent="0.25">
      <c r="A52" s="35">
        <v>46</v>
      </c>
      <c r="B52" s="44" t="s">
        <v>27</v>
      </c>
      <c r="C52" s="14">
        <f>9959.95+3944.14</f>
        <v>13904.09</v>
      </c>
      <c r="D52" s="22">
        <v>1991.99</v>
      </c>
      <c r="E52" s="22"/>
      <c r="F52" s="22">
        <f>13909.07+4636.36</f>
        <v>18545.43</v>
      </c>
      <c r="G52" s="22">
        <f>6954.54+2318.18</f>
        <v>9272.7199999999993</v>
      </c>
      <c r="H52" s="22"/>
      <c r="I52" s="25"/>
      <c r="J52" s="25"/>
      <c r="K52" s="12">
        <f t="shared" si="35"/>
        <v>43714.23</v>
      </c>
      <c r="L52" s="3">
        <v>3295.71</v>
      </c>
      <c r="M52" s="3">
        <v>988.07</v>
      </c>
      <c r="N52" s="2">
        <f t="shared" si="30"/>
        <v>27484.810000000005</v>
      </c>
      <c r="O52" s="75">
        <f t="shared" si="1"/>
        <v>31768.590000000004</v>
      </c>
      <c r="P52" s="71">
        <f>SUM(K52-O52)</f>
        <v>11945.64</v>
      </c>
      <c r="Q52" s="20"/>
      <c r="R52" s="43">
        <v>11945.64</v>
      </c>
    </row>
    <row r="53" spans="1:18" x14ac:dyDescent="0.25">
      <c r="A53" s="35">
        <v>47</v>
      </c>
      <c r="B53" s="44" t="s">
        <v>64</v>
      </c>
      <c r="C53" s="14">
        <f>4975.52+265.7</f>
        <v>5241.22</v>
      </c>
      <c r="D53" s="22">
        <v>1667.01</v>
      </c>
      <c r="E53" s="22"/>
      <c r="F53" s="22"/>
      <c r="G53" s="22"/>
      <c r="H53" s="22"/>
      <c r="I53" s="25"/>
      <c r="J53" s="25"/>
      <c r="K53" s="12">
        <f t="shared" si="35"/>
        <v>6908.2300000000005</v>
      </c>
      <c r="L53" s="3">
        <v>720.83</v>
      </c>
      <c r="M53" s="3">
        <v>768.65</v>
      </c>
      <c r="N53" s="2">
        <f t="shared" ref="N53" si="43">K53-L53-M53-R53</f>
        <v>1701.5700000000011</v>
      </c>
      <c r="O53" s="75">
        <f t="shared" ref="O53" si="44">SUM(L53:N53)</f>
        <v>3191.0500000000011</v>
      </c>
      <c r="P53" s="71">
        <f t="shared" ref="P53" si="45">SUM(K53-O53)</f>
        <v>3717.1799999999994</v>
      </c>
      <c r="Q53" s="20"/>
      <c r="R53" s="43">
        <v>3717.18</v>
      </c>
    </row>
    <row r="54" spans="1:18" x14ac:dyDescent="0.25">
      <c r="A54" s="35">
        <v>48</v>
      </c>
      <c r="B54" s="44" t="s">
        <v>68</v>
      </c>
      <c r="C54" s="14">
        <f>2320.38+69.61</f>
        <v>2389.9900000000002</v>
      </c>
      <c r="D54" s="22"/>
      <c r="E54" s="22"/>
      <c r="F54" s="22">
        <f>2389.99+796.66</f>
        <v>3186.6499999999996</v>
      </c>
      <c r="G54" s="22">
        <f>1593.32+531.11</f>
        <v>2124.4299999999998</v>
      </c>
      <c r="H54" s="22">
        <v>2389.9899999999998</v>
      </c>
      <c r="I54" s="25"/>
      <c r="J54" s="25"/>
      <c r="K54" s="12">
        <f t="shared" si="35"/>
        <v>10091.06</v>
      </c>
      <c r="L54" s="3">
        <v>0</v>
      </c>
      <c r="M54" s="3">
        <f>311.25+270.98</f>
        <v>582.23</v>
      </c>
      <c r="N54" s="2">
        <f t="shared" ref="N54" si="46">K54-L54-M54-R54</f>
        <v>8624.0499999999993</v>
      </c>
      <c r="O54" s="75">
        <f t="shared" ref="O54" si="47">SUM(L54:N54)</f>
        <v>9206.2799999999988</v>
      </c>
      <c r="P54" s="71">
        <f t="shared" ref="P54" si="48">SUM(K54-O54)</f>
        <v>884.78000000000065</v>
      </c>
      <c r="Q54" s="20"/>
      <c r="R54" s="43">
        <v>884.78</v>
      </c>
    </row>
    <row r="55" spans="1:18" x14ac:dyDescent="0.25">
      <c r="A55" s="35">
        <v>49</v>
      </c>
      <c r="B55" s="44" t="s">
        <v>28</v>
      </c>
      <c r="C55" s="14">
        <f>8381.58+4106.98</f>
        <v>12488.56</v>
      </c>
      <c r="D55" s="22">
        <v>3352.63</v>
      </c>
      <c r="E55" s="22"/>
      <c r="F55" s="22">
        <f>15841.19+5280.4</f>
        <v>21121.59</v>
      </c>
      <c r="G55" s="22">
        <f>10560.79+3520.26</f>
        <v>14081.050000000001</v>
      </c>
      <c r="H55" s="22">
        <v>15841.19</v>
      </c>
      <c r="I55" s="25"/>
      <c r="J55" s="25"/>
      <c r="K55" s="12">
        <f t="shared" si="35"/>
        <v>66885.02</v>
      </c>
      <c r="L55" s="3">
        <f>3280.62+4575.85</f>
        <v>7856.47</v>
      </c>
      <c r="M55" s="3">
        <v>988.07</v>
      </c>
      <c r="N55" s="2">
        <f t="shared" si="30"/>
        <v>47008.47</v>
      </c>
      <c r="O55" s="75">
        <f t="shared" si="1"/>
        <v>55853.01</v>
      </c>
      <c r="P55" s="71">
        <f>SUM(K55-O55)</f>
        <v>11032.010000000002</v>
      </c>
      <c r="Q55" s="20"/>
      <c r="R55" s="43">
        <v>11032.01</v>
      </c>
    </row>
    <row r="56" spans="1:18" x14ac:dyDescent="0.25">
      <c r="A56" s="35">
        <v>50</v>
      </c>
      <c r="B56" s="44" t="s">
        <v>29</v>
      </c>
      <c r="C56" s="14">
        <f>5746.88+1953.94</f>
        <v>7700.82</v>
      </c>
      <c r="D56" s="22"/>
      <c r="E56" s="22"/>
      <c r="F56" s="22">
        <f>1184.74+394.91</f>
        <v>1579.65</v>
      </c>
      <c r="G56" s="22">
        <f>789.83+263.28</f>
        <v>1053.1100000000001</v>
      </c>
      <c r="H56" s="22"/>
      <c r="I56" s="25"/>
      <c r="J56" s="25"/>
      <c r="K56" s="12">
        <f t="shared" si="35"/>
        <v>10333.58</v>
      </c>
      <c r="L56" s="3">
        <v>983.54</v>
      </c>
      <c r="M56" s="3">
        <f>525.47+462.6</f>
        <v>988.07</v>
      </c>
      <c r="N56" s="2">
        <f t="shared" si="30"/>
        <v>3985.4300000000012</v>
      </c>
      <c r="O56" s="75">
        <f t="shared" si="1"/>
        <v>5957.0400000000009</v>
      </c>
      <c r="P56" s="71">
        <f t="shared" si="2"/>
        <v>4376.5399999999991</v>
      </c>
      <c r="Q56" s="20"/>
      <c r="R56" s="43">
        <v>4376.54</v>
      </c>
    </row>
    <row r="57" spans="1:18" x14ac:dyDescent="0.25">
      <c r="A57" s="35">
        <v>51</v>
      </c>
      <c r="B57" s="44" t="s">
        <v>52</v>
      </c>
      <c r="C57" s="14">
        <f>7053.37+423.2</f>
        <v>7476.57</v>
      </c>
      <c r="D57" s="22"/>
      <c r="E57" s="22"/>
      <c r="F57" s="22"/>
      <c r="G57" s="22"/>
      <c r="H57" s="22"/>
      <c r="I57" s="25"/>
      <c r="J57" s="25"/>
      <c r="K57" s="12">
        <f>SUM(C57:I57)</f>
        <v>7476.57</v>
      </c>
      <c r="L57" s="3">
        <v>914.07</v>
      </c>
      <c r="M57" s="3">
        <v>848.22</v>
      </c>
      <c r="N57" s="2">
        <f t="shared" ref="N57:N58" si="49">K57-L57-M57-R57</f>
        <v>145.84999999999945</v>
      </c>
      <c r="O57" s="75">
        <f t="shared" ref="O57" si="50">SUM(L57:N57)</f>
        <v>1908.1399999999994</v>
      </c>
      <c r="P57" s="71">
        <f t="shared" ref="P57" si="51">SUM(K57-O57)</f>
        <v>5568.43</v>
      </c>
      <c r="Q57" s="20"/>
      <c r="R57" s="43">
        <v>5568.43</v>
      </c>
    </row>
    <row r="58" spans="1:18" x14ac:dyDescent="0.25">
      <c r="A58" s="35">
        <v>52</v>
      </c>
      <c r="B58" s="46" t="s">
        <v>78</v>
      </c>
      <c r="C58" s="40">
        <v>4504.2700000000004</v>
      </c>
      <c r="D58" s="41"/>
      <c r="E58" s="41"/>
      <c r="F58" s="41"/>
      <c r="G58" s="22"/>
      <c r="H58" s="22"/>
      <c r="I58" s="25"/>
      <c r="J58" s="25"/>
      <c r="K58" s="12">
        <f>SUM(C58:I58)</f>
        <v>4504.2700000000004</v>
      </c>
      <c r="L58" s="42">
        <v>0</v>
      </c>
      <c r="M58" s="42">
        <v>432.1</v>
      </c>
      <c r="N58" s="2">
        <f t="shared" si="49"/>
        <v>319.61000000000058</v>
      </c>
      <c r="O58" s="75">
        <f t="shared" ref="O58" si="52">SUM(L58:N58)</f>
        <v>751.7100000000006</v>
      </c>
      <c r="P58" s="71">
        <f t="shared" ref="P58" si="53">SUM(K58-O58)</f>
        <v>3752.56</v>
      </c>
      <c r="Q58" s="20"/>
      <c r="R58" s="43">
        <v>3752.56</v>
      </c>
    </row>
    <row r="59" spans="1:18" ht="15.75" thickBot="1" x14ac:dyDescent="0.3">
      <c r="A59" s="35">
        <v>53</v>
      </c>
      <c r="B59" s="47" t="s">
        <v>30</v>
      </c>
      <c r="C59" s="15">
        <f>12514.81+2978.52</f>
        <v>15493.33</v>
      </c>
      <c r="D59" s="24">
        <v>5005.92</v>
      </c>
      <c r="E59" s="24"/>
      <c r="F59" s="24"/>
      <c r="G59" s="24"/>
      <c r="H59" s="24"/>
      <c r="I59" s="26">
        <v>5966.23</v>
      </c>
      <c r="J59" s="26"/>
      <c r="K59" s="13">
        <f>SUM(C59:J59)</f>
        <v>26465.48</v>
      </c>
      <c r="L59" s="10">
        <v>6045.42</v>
      </c>
      <c r="M59" s="10">
        <v>988.07</v>
      </c>
      <c r="N59" s="11">
        <f t="shared" si="30"/>
        <v>59.349999999998545</v>
      </c>
      <c r="O59" s="76">
        <f t="shared" si="1"/>
        <v>7092.8399999999983</v>
      </c>
      <c r="P59" s="73">
        <f t="shared" si="2"/>
        <v>19372.64</v>
      </c>
      <c r="Q59" s="20"/>
      <c r="R59" s="43">
        <v>19372.64</v>
      </c>
    </row>
    <row r="60" spans="1:18" ht="15.75" thickBot="1" x14ac:dyDescent="0.3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8" x14ac:dyDescent="0.25">
      <c r="B61" s="57" t="s">
        <v>75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</row>
    <row r="62" spans="1:18" ht="5.25" customHeight="1" x14ac:dyDescent="0.25"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3"/>
    </row>
    <row r="63" spans="1:18" x14ac:dyDescent="0.25">
      <c r="B63" s="54" t="s">
        <v>60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6"/>
    </row>
    <row r="64" spans="1:18" x14ac:dyDescent="0.25">
      <c r="B64" s="51" t="s">
        <v>58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3"/>
    </row>
    <row r="65" spans="2:16" x14ac:dyDescent="0.25">
      <c r="B65" s="51" t="s">
        <v>76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2:16" x14ac:dyDescent="0.25">
      <c r="B66" s="51" t="s">
        <v>59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15.75" thickBot="1" x14ac:dyDescent="0.3">
      <c r="B67" s="48" t="s">
        <v>70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50"/>
    </row>
    <row r="68" spans="2:16" x14ac:dyDescent="0.25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2:16" x14ac:dyDescent="0.25">
      <c r="B69" s="6"/>
      <c r="C69" s="5"/>
      <c r="D69" s="5"/>
      <c r="E69" s="5"/>
      <c r="F69" s="5"/>
      <c r="G69" s="5"/>
      <c r="H69" s="5"/>
      <c r="I69" s="5"/>
      <c r="J69" s="5"/>
      <c r="K69" s="36"/>
      <c r="L69" s="5"/>
      <c r="M69" s="5"/>
      <c r="N69" s="5"/>
      <c r="O69" s="36"/>
      <c r="P69" s="5"/>
    </row>
    <row r="70" spans="2:16" x14ac:dyDescent="0.25">
      <c r="B70" s="4"/>
      <c r="C70" s="4"/>
      <c r="D70" s="4"/>
      <c r="E70" s="4"/>
      <c r="F70" s="4"/>
      <c r="G70" s="4"/>
      <c r="H70" s="4"/>
      <c r="I70" s="4"/>
      <c r="J70" s="4"/>
      <c r="K70" s="38"/>
      <c r="L70" s="38"/>
      <c r="M70" s="38"/>
      <c r="N70" s="38"/>
      <c r="O70" s="38"/>
      <c r="P70" s="38"/>
    </row>
    <row r="71" spans="2:16" x14ac:dyDescent="0.25">
      <c r="K71" s="1"/>
      <c r="O71" s="1"/>
      <c r="P71" s="1"/>
    </row>
    <row r="73" spans="2:16" x14ac:dyDescent="0.25">
      <c r="K73" s="1"/>
      <c r="O73" s="1"/>
    </row>
    <row r="74" spans="2:16" x14ac:dyDescent="0.25">
      <c r="K74" s="1"/>
      <c r="L74" s="1"/>
      <c r="M74" s="1"/>
      <c r="N74" s="1"/>
      <c r="P74" s="1"/>
    </row>
  </sheetData>
  <mergeCells count="18">
    <mergeCell ref="B61:P61"/>
    <mergeCell ref="B60:P60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7:P67"/>
    <mergeCell ref="B62:P62"/>
    <mergeCell ref="B63:P63"/>
    <mergeCell ref="B64:P64"/>
    <mergeCell ref="B66:P66"/>
    <mergeCell ref="B65:P65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2026-03-26T18:35:35Z</dcterms:modified>
</cp:coreProperties>
</file>