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6\PORTAL DA TRANSPARÊNCIA\02-FEVEREIRO\"/>
    </mc:Choice>
  </mc:AlternateContent>
  <xr:revisionPtr revIDLastSave="0" documentId="13_ncr:1_{3E40B325-7321-4E2B-8521-0E33FF097E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8" i="6" l="1"/>
  <c r="K58" i="6"/>
  <c r="F58" i="6"/>
  <c r="C58" i="6"/>
  <c r="M51" i="6"/>
  <c r="K51" i="6"/>
  <c r="F51" i="6"/>
  <c r="C51" i="6"/>
  <c r="K42" i="6"/>
  <c r="F42" i="6"/>
  <c r="C42" i="6"/>
  <c r="K28" i="6"/>
  <c r="F28" i="6"/>
  <c r="C28" i="6"/>
  <c r="M25" i="6"/>
  <c r="K25" i="6"/>
  <c r="F25" i="6"/>
  <c r="C25" i="6"/>
  <c r="M17" i="6"/>
  <c r="K17" i="6"/>
  <c r="F17" i="6"/>
  <c r="C17" i="6"/>
  <c r="P31" i="6"/>
  <c r="P61" i="6"/>
  <c r="P57" i="6"/>
  <c r="P50" i="6"/>
  <c r="P49" i="6"/>
  <c r="P38" i="6"/>
  <c r="P37" i="6"/>
  <c r="P33" i="6"/>
  <c r="P32" i="6"/>
  <c r="P30" i="6"/>
  <c r="P26" i="6"/>
  <c r="P11" i="6"/>
  <c r="F11" i="6"/>
  <c r="K11" i="6" s="1"/>
  <c r="M11" i="6"/>
  <c r="C11" i="6"/>
  <c r="G65" i="6"/>
  <c r="F65" i="6"/>
  <c r="C65" i="6"/>
  <c r="M62" i="6"/>
  <c r="L62" i="6"/>
  <c r="G62" i="6"/>
  <c r="F62" i="6"/>
  <c r="C62" i="6"/>
  <c r="C61" i="6"/>
  <c r="D59" i="6"/>
  <c r="C59" i="6"/>
  <c r="L57" i="6"/>
  <c r="G57" i="6"/>
  <c r="F57" i="6"/>
  <c r="C57" i="6"/>
  <c r="M56" i="6"/>
  <c r="F56" i="6"/>
  <c r="C56" i="6"/>
  <c r="F55" i="6"/>
  <c r="C55" i="6"/>
  <c r="K54" i="6"/>
  <c r="N54" i="6" s="1"/>
  <c r="O54" i="6" s="1"/>
  <c r="P54" i="6" s="1"/>
  <c r="M53" i="6"/>
  <c r="G53" i="6"/>
  <c r="F53" i="6"/>
  <c r="C53" i="6"/>
  <c r="N52" i="6"/>
  <c r="O52" i="6"/>
  <c r="P52" i="6" s="1"/>
  <c r="K52" i="6"/>
  <c r="G50" i="6"/>
  <c r="F50" i="6"/>
  <c r="C50" i="6"/>
  <c r="F49" i="6"/>
  <c r="C49" i="6"/>
  <c r="C47" i="6"/>
  <c r="G46" i="6"/>
  <c r="F46" i="6"/>
  <c r="D46" i="6"/>
  <c r="C46" i="6"/>
  <c r="C45" i="6"/>
  <c r="M41" i="6"/>
  <c r="F41" i="6"/>
  <c r="C41" i="6"/>
  <c r="M40" i="6"/>
  <c r="F40" i="6"/>
  <c r="C40" i="6"/>
  <c r="M39" i="6"/>
  <c r="F39" i="6"/>
  <c r="C39" i="6"/>
  <c r="L36" i="6" l="1"/>
  <c r="F36" i="6"/>
  <c r="C36" i="6"/>
  <c r="G34" i="6"/>
  <c r="F34" i="6"/>
  <c r="C34" i="6"/>
  <c r="M33" i="6"/>
  <c r="F33" i="6"/>
  <c r="C33" i="6"/>
  <c r="C30" i="6"/>
  <c r="F24" i="6"/>
  <c r="C24" i="6"/>
  <c r="L23" i="6"/>
  <c r="G23" i="6"/>
  <c r="F23" i="6"/>
  <c r="C23" i="6"/>
  <c r="M20" i="6"/>
  <c r="G20" i="6"/>
  <c r="F20" i="6"/>
  <c r="C20" i="6"/>
  <c r="C18" i="6"/>
  <c r="C16" i="6"/>
  <c r="F15" i="6"/>
  <c r="D15" i="6"/>
  <c r="C15" i="6"/>
  <c r="G14" i="6"/>
  <c r="F14" i="6"/>
  <c r="D14" i="6"/>
  <c r="C14" i="6"/>
  <c r="C10" i="6"/>
  <c r="C8" i="6"/>
  <c r="L7" i="6"/>
  <c r="F7" i="6"/>
  <c r="C7" i="6"/>
  <c r="M47" i="6"/>
  <c r="M45" i="6"/>
  <c r="C37" i="6"/>
  <c r="M27" i="6"/>
  <c r="C22" i="6"/>
  <c r="M18" i="6"/>
  <c r="M15" i="6"/>
  <c r="M14" i="6"/>
  <c r="M8" i="6"/>
  <c r="C63" i="6"/>
  <c r="D37" i="6"/>
  <c r="C13" i="6"/>
  <c r="C9" i="6"/>
  <c r="C44" i="6"/>
  <c r="C35" i="6"/>
  <c r="K64" i="6"/>
  <c r="N64" i="6" s="1"/>
  <c r="O64" i="6" s="1"/>
  <c r="P64" i="6" s="1"/>
  <c r="K38" i="6"/>
  <c r="N38" i="6" l="1"/>
  <c r="O38" i="6" s="1"/>
  <c r="K33" i="6"/>
  <c r="N33" i="6" s="1"/>
  <c r="O33" i="6" s="1"/>
  <c r="K32" i="6" l="1"/>
  <c r="N32" i="6" s="1"/>
  <c r="O32" i="6" s="1"/>
  <c r="K21" i="6"/>
  <c r="N21" i="6" s="1"/>
  <c r="O21" i="6" s="1"/>
  <c r="P21" i="6" s="1"/>
  <c r="K19" i="6" l="1"/>
  <c r="N19" i="6" s="1"/>
  <c r="K60" i="6"/>
  <c r="N60" i="6" s="1"/>
  <c r="O60" i="6" s="1"/>
  <c r="K48" i="6"/>
  <c r="N48" i="6" s="1"/>
  <c r="O48" i="6" s="1"/>
  <c r="P48" i="6" s="1"/>
  <c r="K43" i="6"/>
  <c r="N43" i="6" s="1"/>
  <c r="O43" i="6" s="1"/>
  <c r="P43" i="6" s="1"/>
  <c r="K10" i="6"/>
  <c r="N28" i="6" l="1"/>
  <c r="O28" i="6" s="1"/>
  <c r="P28" i="6" s="1"/>
  <c r="O19" i="6"/>
  <c r="P19" i="6" s="1"/>
  <c r="P60" i="6"/>
  <c r="N10" i="6"/>
  <c r="O10" i="6" s="1"/>
  <c r="P10" i="6" s="1"/>
  <c r="K59" i="6"/>
  <c r="K65" i="6" l="1"/>
  <c r="K45" i="6"/>
  <c r="N59" i="6"/>
  <c r="O59" i="6" s="1"/>
  <c r="P59" i="6" s="1"/>
  <c r="K13" i="6"/>
  <c r="K9" i="6"/>
  <c r="N9" i="6" s="1"/>
  <c r="O9" i="6" s="1"/>
  <c r="P9" i="6" s="1"/>
  <c r="N13" i="6" l="1"/>
  <c r="O13" i="6" s="1"/>
  <c r="P13" i="6" s="1"/>
  <c r="K57" i="6" l="1"/>
  <c r="K47" i="6"/>
  <c r="K46" i="6"/>
  <c r="K44" i="6"/>
  <c r="K35" i="6"/>
  <c r="K49" i="6"/>
  <c r="K53" i="6"/>
  <c r="K55" i="6"/>
  <c r="K56" i="6"/>
  <c r="K61" i="6"/>
  <c r="K62" i="6"/>
  <c r="K63" i="6"/>
  <c r="K41" i="6"/>
  <c r="K29" i="6"/>
  <c r="K30" i="6"/>
  <c r="K31" i="6"/>
  <c r="K34" i="6"/>
  <c r="K36" i="6"/>
  <c r="K37" i="6"/>
  <c r="K39" i="6"/>
  <c r="K40" i="6"/>
  <c r="K8" i="6"/>
  <c r="K12" i="6"/>
  <c r="K15" i="6"/>
  <c r="K16" i="6"/>
  <c r="K18" i="6"/>
  <c r="K20" i="6"/>
  <c r="K22" i="6"/>
  <c r="K23" i="6"/>
  <c r="K24" i="6"/>
  <c r="K26" i="6"/>
  <c r="K27" i="6"/>
  <c r="K7" i="6"/>
  <c r="K50" i="6" l="1"/>
  <c r="K14" i="6"/>
  <c r="N63" i="6" l="1"/>
  <c r="O63" i="6" s="1"/>
  <c r="P63" i="6" s="1"/>
  <c r="N30" i="6" l="1"/>
  <c r="O30" i="6" s="1"/>
  <c r="N8" i="6" l="1"/>
  <c r="O8" i="6" s="1"/>
  <c r="P8" i="6" s="1"/>
  <c r="N39" i="6" l="1"/>
  <c r="O39" i="6" s="1"/>
  <c r="P39" i="6" s="1"/>
  <c r="N56" i="6" l="1"/>
  <c r="O56" i="6" s="1"/>
  <c r="P56" i="6" s="1"/>
  <c r="N15" i="6" l="1"/>
  <c r="O15" i="6" s="1"/>
  <c r="P15" i="6" s="1"/>
  <c r="N12" i="6" l="1"/>
  <c r="O12" i="6" s="1"/>
  <c r="P12" i="6" s="1"/>
  <c r="N65" i="6"/>
  <c r="O65" i="6" s="1"/>
  <c r="P65" i="6" s="1"/>
  <c r="N58" i="6"/>
  <c r="O58" i="6" s="1"/>
  <c r="N55" i="6"/>
  <c r="O55" i="6" s="1"/>
  <c r="P55" i="6" s="1"/>
  <c r="N53" i="6"/>
  <c r="O53" i="6" s="1"/>
  <c r="P53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6" i="6"/>
  <c r="O36" i="6" s="1"/>
  <c r="P36" i="6" s="1"/>
  <c r="N35" i="6"/>
  <c r="O35" i="6" s="1"/>
  <c r="P35" i="6" s="1"/>
  <c r="N34" i="6"/>
  <c r="O34" i="6" s="1"/>
  <c r="P34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4" i="6" l="1"/>
  <c r="O44" i="6" s="1"/>
  <c r="P44" i="6" s="1"/>
  <c r="N62" i="6"/>
  <c r="O62" i="6" s="1"/>
  <c r="P62" i="6" s="1"/>
  <c r="N16" i="6"/>
  <c r="O16" i="6" s="1"/>
  <c r="P16" i="6" s="1"/>
  <c r="N57" i="6"/>
  <c r="O57" i="6" s="1"/>
  <c r="N49" i="6"/>
  <c r="N50" i="6"/>
  <c r="O50" i="6" s="1"/>
  <c r="N61" i="6"/>
  <c r="O61" i="6" s="1"/>
  <c r="N11" i="6"/>
  <c r="O11" i="6" s="1"/>
  <c r="N31" i="6"/>
  <c r="O31" i="6" s="1"/>
  <c r="N26" i="6"/>
  <c r="O26" i="6" s="1"/>
  <c r="N37" i="6"/>
  <c r="O37" i="6" s="1"/>
  <c r="N42" i="6"/>
  <c r="O42" i="6" s="1"/>
  <c r="P42" i="6" s="1"/>
  <c r="N20" i="6"/>
  <c r="O20" i="6" s="1"/>
  <c r="P20" i="6" s="1"/>
  <c r="N17" i="6"/>
  <c r="O17" i="6" s="1"/>
  <c r="P17" i="6" s="1"/>
  <c r="N14" i="6"/>
  <c r="O14" i="6" s="1"/>
  <c r="P14" i="6" s="1"/>
  <c r="P47" i="6"/>
  <c r="P46" i="6"/>
  <c r="P51" i="6"/>
  <c r="N40" i="6"/>
  <c r="O40" i="6" s="1"/>
  <c r="P40" i="6" s="1"/>
  <c r="P58" i="6"/>
  <c r="O49" i="6" l="1"/>
  <c r="N29" i="6" l="1"/>
  <c r="O29" i="6" s="1"/>
  <c r="P29" i="6" s="1"/>
</calcChain>
</file>

<file path=xl/sharedStrings.xml><?xml version="1.0" encoding="utf-8"?>
<sst xmlns="http://schemas.openxmlformats.org/spreadsheetml/2006/main" count="91" uniqueCount="89">
  <si>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</si>
  <si>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</si>
  <si>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</si>
  <si>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</si>
  <si>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</si>
  <si>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</si>
  <si>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</si>
  <si>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</si>
  <si>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</si>
  <si>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</si>
  <si>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</si>
  <si>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</si>
  <si>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</si>
  <si>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</si>
  <si>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</si>
  <si>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</si>
  <si>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</si>
  <si>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</si>
  <si>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</si>
  <si>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</si>
  <si>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</si>
  <si>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</si>
  <si>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</si>
  <si>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</si>
  <si>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</si>
  <si>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</si>
  <si>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</si>
  <si>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</si>
  <si>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</si>
  <si>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</si>
  <si>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</si>
  <si>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</si>
  <si>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</si>
  <si>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</si>
  <si>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</si>
  <si>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</si>
  <si>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</si>
  <si>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</si>
  <si>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</si>
  <si>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</si>
  <si>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</si>
  <si>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</si>
  <si>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</si>
  <si>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</si>
  <si>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</si>
  <si>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</si>
  <si>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</si>
  <si>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</si>
  <si>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</si>
  <si>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</si>
  <si>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</si>
  <si>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</si>
  <si>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</si>
  <si>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</si>
  <si>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</si>
  <si>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</si>
  <si>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</si>
  <si>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</si>
  <si>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</si>
  <si>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</si>
  <si>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</si>
  <si>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</si>
  <si>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</si>
  <si>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</si>
  <si>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</si>
  <si>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</si>
  <si>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</si>
  <si>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</si>
  <si>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</si>
  <si>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</si>
  <si>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</si>
  <si>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</si>
  <si>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</si>
  <si>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</si>
  <si>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</si>
  <si>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</si>
  <si>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</si>
  <si>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</si>
  <si>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</si>
  <si>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</si>
  <si>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</si>
  <si>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</si>
  <si>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</si>
  <si>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</si>
  <si>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t>VINICIUS GABRIEL FRANK SALDANHA</t>
  </si>
  <si>
    <t>JERUZA FERNANDES MOURA BURGES</t>
  </si>
  <si>
    <t>Fevereiro/2026</t>
  </si>
  <si>
    <t>PHILIPPE YAN GUERIOS SERVIN</t>
  </si>
  <si>
    <t>RENAN FELIPE CORREA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</si>
</sst>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7" sqref="R67"/>
    </sheetView>
  </sheetViews>
  <sheetFormatPr defaultRowHeight="15" outlineLevelCol="1" x14ac:dyDescent="0.25"/>
  <cols>
    <col min="1" max="1" width="3.7109375" customWidth="1"/>
    <col min="2" max="2" width="53.140625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46</v>
      </c>
      <c r="C5" s="59" t="s">
        <v>36</v>
      </c>
      <c r="D5" s="63" t="s">
        <v>58</v>
      </c>
      <c r="E5" s="59" t="s">
        <v>37</v>
      </c>
      <c r="F5" s="59" t="s">
        <v>59</v>
      </c>
      <c r="G5" s="34" t="s">
        <v>60</v>
      </c>
      <c r="H5" s="35" t="s">
        <v>62</v>
      </c>
      <c r="I5" s="18" t="s">
        <v>49</v>
      </c>
      <c r="J5" s="8" t="s">
        <v>66</v>
      </c>
      <c r="K5" s="18" t="s">
        <v>38</v>
      </c>
      <c r="L5" s="61" t="s">
        <v>40</v>
      </c>
      <c r="M5" s="59" t="s">
        <v>41</v>
      </c>
      <c r="N5" s="18" t="s">
        <v>42</v>
      </c>
      <c r="O5" s="8" t="s">
        <v>44</v>
      </c>
      <c r="P5" s="20" t="s">
        <v>38</v>
      </c>
    </row>
    <row r="6" spans="1:19" ht="15.75" thickBot="1" x14ac:dyDescent="0.3">
      <c r="B6" s="58"/>
      <c r="C6" s="60"/>
      <c r="D6" s="64"/>
      <c r="E6" s="60"/>
      <c r="F6" s="60"/>
      <c r="G6" s="36" t="s">
        <v>61</v>
      </c>
      <c r="H6" s="37" t="s">
        <v>51</v>
      </c>
      <c r="I6" s="19" t="s">
        <v>50</v>
      </c>
      <c r="J6" s="9" t="s">
        <v>67</v>
      </c>
      <c r="K6" s="19" t="s">
        <v>39</v>
      </c>
      <c r="L6" s="62"/>
      <c r="M6" s="60"/>
      <c r="N6" s="19" t="s">
        <v>43</v>
      </c>
      <c r="O6" s="9" t="s">
        <v>43</v>
      </c>
      <c r="P6" s="21" t="s">
        <v>45</v>
      </c>
    </row>
    <row r="7" spans="1:19" x14ac:dyDescent="0.25">
      <c r="A7" s="38">
        <v>1</v>
      </c>
      <c r="B7" s="47" t="s">
        <v>0</v>
      </c>
      <c r="C7" s="14">
        <f>4942.66+763.73</f>
        <v>5706.3899999999994</v>
      </c>
      <c r="D7" s="24">
        <v>2000.39</v>
      </c>
      <c r="E7" s="24"/>
      <c r="F7" s="24">
        <f>5137.85+1712.62</f>
        <v>6850.47</v>
      </c>
      <c r="G7" s="24"/>
      <c r="H7" s="24"/>
      <c r="I7" s="27"/>
      <c r="J7" s="27"/>
      <c r="K7" s="12">
        <f t="shared" ref="K7:K14" si="0">SUM(C7:I7)</f>
        <v>14557.25</v>
      </c>
      <c r="L7" s="3">
        <f>1043.65+699.5</f>
        <v>1743.15</v>
      </c>
      <c r="M7" s="3">
        <v>988.07</v>
      </c>
      <c r="N7" s="2">
        <f>K7-L7-M7-R7</f>
        <v>5443.26</v>
      </c>
      <c r="O7" s="2">
        <f t="shared" ref="O7:O65" si="1">SUM(L7:N7)</f>
        <v>8174.4800000000005</v>
      </c>
      <c r="P7" s="16">
        <f t="shared" ref="P7:P65" si="2">SUM(K7-O7)</f>
        <v>6382.7699999999995</v>
      </c>
      <c r="Q7" s="22"/>
      <c r="R7" s="46">
        <v>6382.77</v>
      </c>
    </row>
    <row r="8" spans="1:19" x14ac:dyDescent="0.25">
      <c r="A8" s="38">
        <v>2</v>
      </c>
      <c r="B8" s="47" t="s">
        <v>54</v>
      </c>
      <c r="C8" s="14">
        <f>3798.25+499.26</f>
        <v>4297.51</v>
      </c>
      <c r="D8" s="24">
        <v>3333.98</v>
      </c>
      <c r="E8" s="24"/>
      <c r="F8" s="24"/>
      <c r="G8" s="24"/>
      <c r="H8" s="24"/>
      <c r="I8" s="27"/>
      <c r="J8" s="27"/>
      <c r="K8" s="12">
        <f t="shared" si="0"/>
        <v>7631.49</v>
      </c>
      <c r="L8" s="3">
        <v>488.43</v>
      </c>
      <c r="M8" s="3">
        <f>799.4+129.86</f>
        <v>929.26</v>
      </c>
      <c r="N8" s="2">
        <f t="shared" ref="N8:N13" si="3">K8-L8-M8-R8</f>
        <v>517.03999999999905</v>
      </c>
      <c r="O8" s="2">
        <f t="shared" si="1"/>
        <v>1934.7299999999991</v>
      </c>
      <c r="P8" s="16">
        <f t="shared" si="2"/>
        <v>5696.76</v>
      </c>
      <c r="Q8" s="22"/>
      <c r="R8" s="46">
        <v>5696.76</v>
      </c>
    </row>
    <row r="9" spans="1:19" x14ac:dyDescent="0.25">
      <c r="A9" s="38">
        <v>3</v>
      </c>
      <c r="B9" s="47" t="s">
        <v>70</v>
      </c>
      <c r="C9" s="14">
        <f>6914.39+331.89</f>
        <v>7246.2800000000007</v>
      </c>
      <c r="D9" s="24">
        <v>1382.88</v>
      </c>
      <c r="E9" s="24"/>
      <c r="F9" s="22"/>
      <c r="G9" s="22"/>
      <c r="H9" s="24"/>
      <c r="I9" s="27"/>
      <c r="J9" s="27"/>
      <c r="K9" s="12">
        <f t="shared" ref="K9:K10" si="4">SUM(C9:I9)</f>
        <v>8629.16</v>
      </c>
      <c r="L9" s="3">
        <v>1192.57</v>
      </c>
      <c r="M9" s="3">
        <v>988.07</v>
      </c>
      <c r="N9" s="2">
        <f t="shared" ref="N9:N10" si="5">K9-L9-M9-R9</f>
        <v>901.92000000000007</v>
      </c>
      <c r="O9" s="2">
        <f t="shared" ref="O9:O10" si="6">SUM(L9:N9)</f>
        <v>3082.56</v>
      </c>
      <c r="P9" s="16">
        <f t="shared" ref="P9:P10" si="7">SUM(K9-O9)</f>
        <v>5546.6</v>
      </c>
      <c r="Q9" s="22"/>
      <c r="R9" s="46">
        <v>5546.6</v>
      </c>
    </row>
    <row r="10" spans="1:19" x14ac:dyDescent="0.25">
      <c r="A10" s="38">
        <v>4</v>
      </c>
      <c r="B10" s="47" t="s">
        <v>72</v>
      </c>
      <c r="C10" s="14">
        <f>4687.16+140.61</f>
        <v>4827.7699999999995</v>
      </c>
      <c r="D10" s="24"/>
      <c r="E10" s="24"/>
      <c r="F10" s="24"/>
      <c r="G10" s="24"/>
      <c r="H10" s="24"/>
      <c r="I10" s="27"/>
      <c r="J10" s="27"/>
      <c r="K10" s="12">
        <f t="shared" si="4"/>
        <v>4827.7699999999995</v>
      </c>
      <c r="L10" s="3">
        <v>0</v>
      </c>
      <c r="M10" s="3">
        <v>477.39</v>
      </c>
      <c r="N10" s="2">
        <f t="shared" si="5"/>
        <v>9.3499999999994543</v>
      </c>
      <c r="O10" s="2">
        <f t="shared" si="6"/>
        <v>486.73999999999944</v>
      </c>
      <c r="P10" s="16">
        <f t="shared" si="7"/>
        <v>4341.03</v>
      </c>
      <c r="Q10" s="22"/>
      <c r="R10" s="46">
        <v>4341.03</v>
      </c>
    </row>
    <row r="11" spans="1:19" x14ac:dyDescent="0.25">
      <c r="A11" s="38">
        <v>5</v>
      </c>
      <c r="B11" s="47" t="s">
        <v>1</v>
      </c>
      <c r="C11" s="14">
        <f>295.12+47.21</f>
        <v>342.33</v>
      </c>
      <c r="D11" s="24"/>
      <c r="E11" s="24"/>
      <c r="F11" s="24">
        <f>3423.42+1141.14</f>
        <v>4564.5600000000004</v>
      </c>
      <c r="G11" s="24"/>
      <c r="H11" s="24">
        <v>427.93</v>
      </c>
      <c r="I11" s="27"/>
      <c r="J11" s="27">
        <v>77027.02</v>
      </c>
      <c r="K11" s="12">
        <f>SUM(C11:J11)</f>
        <v>82361.840000000011</v>
      </c>
      <c r="L11" s="3"/>
      <c r="M11" s="3">
        <f>25.68+32.09</f>
        <v>57.77</v>
      </c>
      <c r="N11" s="2">
        <f t="shared" si="3"/>
        <v>0</v>
      </c>
      <c r="O11" s="2">
        <f t="shared" si="1"/>
        <v>57.77</v>
      </c>
      <c r="P11" s="16">
        <f>SUM(K11-O11)</f>
        <v>82304.070000000007</v>
      </c>
      <c r="Q11" s="22"/>
      <c r="R11" s="46">
        <v>82304.070000000007</v>
      </c>
      <c r="S11" s="1"/>
    </row>
    <row r="12" spans="1:19" x14ac:dyDescent="0.25">
      <c r="A12" s="38">
        <v>6</v>
      </c>
      <c r="B12" s="47" t="s">
        <v>2</v>
      </c>
      <c r="C12" s="14">
        <v>6715.16</v>
      </c>
      <c r="D12" s="24"/>
      <c r="E12" s="24"/>
      <c r="F12" s="24"/>
      <c r="G12" s="24"/>
      <c r="H12" s="24"/>
      <c r="I12" s="27"/>
      <c r="J12" s="27"/>
      <c r="K12" s="12">
        <f t="shared" si="0"/>
        <v>6715.16</v>
      </c>
      <c r="L12" s="3">
        <v>649.46</v>
      </c>
      <c r="M12" s="3">
        <v>741.62</v>
      </c>
      <c r="N12" s="2">
        <f t="shared" si="3"/>
        <v>1431.0499999999997</v>
      </c>
      <c r="O12" s="2">
        <f t="shared" si="1"/>
        <v>2822.1299999999997</v>
      </c>
      <c r="P12" s="16">
        <f t="shared" si="2"/>
        <v>3893.03</v>
      </c>
      <c r="Q12" s="22"/>
      <c r="R12" s="46">
        <v>3893.03</v>
      </c>
    </row>
    <row r="13" spans="1:19" x14ac:dyDescent="0.25">
      <c r="A13" s="38">
        <v>7</v>
      </c>
      <c r="B13" s="47" t="s">
        <v>68</v>
      </c>
      <c r="C13" s="14">
        <f>6914.39+331.89</f>
        <v>7246.2800000000007</v>
      </c>
      <c r="D13" s="24">
        <v>1382.88</v>
      </c>
      <c r="E13" s="24"/>
      <c r="F13" s="24"/>
      <c r="G13" s="24"/>
      <c r="H13" s="24"/>
      <c r="I13" s="27"/>
      <c r="J13" s="27"/>
      <c r="K13" s="12">
        <f t="shared" si="0"/>
        <v>8629.16</v>
      </c>
      <c r="L13" s="3">
        <v>1088.3</v>
      </c>
      <c r="M13" s="3">
        <v>988.07</v>
      </c>
      <c r="N13" s="2">
        <f t="shared" si="3"/>
        <v>193.15999999999985</v>
      </c>
      <c r="O13" s="2">
        <f t="shared" si="1"/>
        <v>2269.5299999999997</v>
      </c>
      <c r="P13" s="16">
        <f t="shared" si="2"/>
        <v>6359.63</v>
      </c>
      <c r="Q13" s="22"/>
      <c r="R13" s="46">
        <v>6359.63</v>
      </c>
    </row>
    <row r="14" spans="1:19" x14ac:dyDescent="0.25">
      <c r="A14" s="38">
        <v>8</v>
      </c>
      <c r="B14" s="47" t="s">
        <v>3</v>
      </c>
      <c r="C14" s="14">
        <f>9571.32+5024.94</f>
        <v>14596.259999999998</v>
      </c>
      <c r="D14" s="24">
        <f>957.13+3828.53</f>
        <v>4785.66</v>
      </c>
      <c r="E14" s="24"/>
      <c r="F14" s="24">
        <f>16959.18+5653.06</f>
        <v>22612.240000000002</v>
      </c>
      <c r="G14" s="24">
        <f>8479.59+2826.53</f>
        <v>11306.12</v>
      </c>
      <c r="H14" s="24"/>
      <c r="I14" s="27"/>
      <c r="J14" s="27"/>
      <c r="K14" s="12">
        <f t="shared" si="0"/>
        <v>53300.280000000006</v>
      </c>
      <c r="L14" s="3">
        <v>4254.32</v>
      </c>
      <c r="M14" s="3">
        <f>702.58+285.49</f>
        <v>988.07</v>
      </c>
      <c r="N14" s="2">
        <f>K14-L14-M14-R14</f>
        <v>34450.880000000005</v>
      </c>
      <c r="O14" s="2">
        <f t="shared" si="1"/>
        <v>39693.270000000004</v>
      </c>
      <c r="P14" s="16">
        <f t="shared" si="2"/>
        <v>13607.010000000002</v>
      </c>
      <c r="Q14" s="22"/>
      <c r="R14" s="46">
        <v>13607.01</v>
      </c>
    </row>
    <row r="15" spans="1:19" x14ac:dyDescent="0.25">
      <c r="A15" s="38">
        <v>9</v>
      </c>
      <c r="B15" s="47" t="s">
        <v>4</v>
      </c>
      <c r="C15" s="14">
        <f>16749.81+6096.93</f>
        <v>22846.74</v>
      </c>
      <c r="D15" s="24">
        <f>6699.92</f>
        <v>6699.92</v>
      </c>
      <c r="E15" s="24"/>
      <c r="F15" s="42">
        <f>2110.47+703.49</f>
        <v>2813.96</v>
      </c>
      <c r="G15" s="24"/>
      <c r="H15" s="24"/>
      <c r="I15" s="27"/>
      <c r="J15" s="27"/>
      <c r="K15" s="12">
        <f t="shared" ref="K15:K29" si="8">SUM(C15:I15)</f>
        <v>32360.620000000003</v>
      </c>
      <c r="L15" s="3">
        <v>6979.77</v>
      </c>
      <c r="M15" s="3">
        <f>163.33+824.74</f>
        <v>988.07</v>
      </c>
      <c r="N15" s="2">
        <f t="shared" ref="N15:N41" si="9">K15-L15-M15-R15</f>
        <v>2771.4300000000039</v>
      </c>
      <c r="O15" s="2">
        <f t="shared" si="1"/>
        <v>10739.270000000004</v>
      </c>
      <c r="P15" s="16">
        <f t="shared" si="2"/>
        <v>21621.35</v>
      </c>
      <c r="Q15" s="22"/>
      <c r="R15" s="46">
        <v>21621.35</v>
      </c>
    </row>
    <row r="16" spans="1:19" x14ac:dyDescent="0.25">
      <c r="A16" s="38">
        <v>10</v>
      </c>
      <c r="B16" s="47" t="s">
        <v>5</v>
      </c>
      <c r="C16" s="14">
        <f>4588.7+813.24</f>
        <v>5401.94</v>
      </c>
      <c r="D16" s="24">
        <v>1667.01</v>
      </c>
      <c r="E16" s="24"/>
      <c r="F16" s="24"/>
      <c r="G16" s="24"/>
      <c r="H16" s="24"/>
      <c r="I16" s="27"/>
      <c r="J16" s="27"/>
      <c r="K16" s="12">
        <f t="shared" si="8"/>
        <v>7068.95</v>
      </c>
      <c r="L16" s="3">
        <v>780.25</v>
      </c>
      <c r="M16" s="3">
        <v>791.15</v>
      </c>
      <c r="N16" s="2">
        <f t="shared" si="9"/>
        <v>72.289999999999964</v>
      </c>
      <c r="O16" s="2">
        <f t="shared" si="1"/>
        <v>1643.69</v>
      </c>
      <c r="P16" s="16">
        <f t="shared" si="2"/>
        <v>5425.26</v>
      </c>
      <c r="Q16" s="22"/>
      <c r="R16" s="46">
        <v>5425.26</v>
      </c>
    </row>
    <row r="17" spans="1:18" x14ac:dyDescent="0.25">
      <c r="A17" s="38">
        <v>11</v>
      </c>
      <c r="B17" s="47" t="s">
        <v>6</v>
      </c>
      <c r="C17" s="14">
        <f>237.77+73.7</f>
        <v>311.47000000000003</v>
      </c>
      <c r="D17" s="24"/>
      <c r="E17" s="24"/>
      <c r="F17" s="24">
        <f>2336.12+2336.12+778.71+778.71</f>
        <v>6229.66</v>
      </c>
      <c r="G17" s="24"/>
      <c r="H17" s="24">
        <v>389.35</v>
      </c>
      <c r="I17" s="27"/>
      <c r="J17" s="27">
        <v>132458.17000000001</v>
      </c>
      <c r="K17" s="12">
        <f>SUM(C17:J17)</f>
        <v>139388.65000000002</v>
      </c>
      <c r="L17" s="3">
        <v>0</v>
      </c>
      <c r="M17" s="3">
        <f>23.36+29.2</f>
        <v>52.56</v>
      </c>
      <c r="N17" s="2">
        <f t="shared" si="9"/>
        <v>2425.6700000000128</v>
      </c>
      <c r="O17" s="2">
        <f t="shared" si="1"/>
        <v>2478.2300000000128</v>
      </c>
      <c r="P17" s="16">
        <f t="shared" si="2"/>
        <v>136910.42000000001</v>
      </c>
      <c r="Q17" s="22"/>
      <c r="R17" s="46">
        <v>136910.42000000001</v>
      </c>
    </row>
    <row r="18" spans="1:18" x14ac:dyDescent="0.25">
      <c r="A18" s="38">
        <v>12</v>
      </c>
      <c r="B18" s="47" t="s">
        <v>7</v>
      </c>
      <c r="C18" s="14">
        <f>8353.33+2420.47</f>
        <v>10773.8</v>
      </c>
      <c r="D18" s="24">
        <v>4385.9799999999996</v>
      </c>
      <c r="E18" s="24"/>
      <c r="F18" s="24"/>
      <c r="G18" s="24"/>
      <c r="H18" s="24"/>
      <c r="I18" s="27"/>
      <c r="J18" s="27"/>
      <c r="K18" s="12">
        <f t="shared" si="8"/>
        <v>15159.779999999999</v>
      </c>
      <c r="L18" s="3">
        <v>2832.08</v>
      </c>
      <c r="M18" s="3">
        <f>235.22+752.85</f>
        <v>988.07</v>
      </c>
      <c r="N18" s="2">
        <f t="shared" si="9"/>
        <v>744.42999999999847</v>
      </c>
      <c r="O18" s="2">
        <f t="shared" si="1"/>
        <v>4564.5799999999981</v>
      </c>
      <c r="P18" s="16">
        <f t="shared" si="2"/>
        <v>10595.2</v>
      </c>
      <c r="Q18" s="22"/>
      <c r="R18" s="46">
        <v>10595.2</v>
      </c>
    </row>
    <row r="19" spans="1:18" x14ac:dyDescent="0.25">
      <c r="A19" s="38">
        <v>13</v>
      </c>
      <c r="B19" s="47" t="s">
        <v>75</v>
      </c>
      <c r="C19" s="14">
        <v>3472.55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3472.55</v>
      </c>
      <c r="L19" s="3">
        <v>0</v>
      </c>
      <c r="M19" s="3">
        <v>305.29000000000002</v>
      </c>
      <c r="N19" s="2">
        <f t="shared" ref="N19" si="11">K19-L19-M19-R19</f>
        <v>9.3500000000003638</v>
      </c>
      <c r="O19" s="2">
        <f t="shared" ref="O19" si="12">SUM(L19:N19)</f>
        <v>314.64000000000038</v>
      </c>
      <c r="P19" s="16">
        <f t="shared" ref="P19" si="13">SUM(K19-O19)</f>
        <v>3157.91</v>
      </c>
      <c r="Q19" s="22"/>
      <c r="R19" s="46">
        <v>3157.91</v>
      </c>
    </row>
    <row r="20" spans="1:18" x14ac:dyDescent="0.25">
      <c r="A20" s="38">
        <v>14</v>
      </c>
      <c r="B20" s="47" t="s">
        <v>8</v>
      </c>
      <c r="C20" s="14">
        <f>3458.21+449.57</f>
        <v>3907.78</v>
      </c>
      <c r="D20" s="24"/>
      <c r="E20" s="24"/>
      <c r="F20" s="24">
        <f>976.94+325.65</f>
        <v>1302.5900000000001</v>
      </c>
      <c r="G20" s="24">
        <f>488.47+162.82</f>
        <v>651.29</v>
      </c>
      <c r="H20" s="24">
        <v>2442.36</v>
      </c>
      <c r="I20" s="27"/>
      <c r="J20" s="27"/>
      <c r="K20" s="12">
        <f t="shared" si="8"/>
        <v>8304.02</v>
      </c>
      <c r="L20" s="3">
        <v>0</v>
      </c>
      <c r="M20" s="3">
        <f>408.06+122.89</f>
        <v>530.95000000000005</v>
      </c>
      <c r="N20" s="2">
        <f t="shared" si="9"/>
        <v>4519.3700000000008</v>
      </c>
      <c r="O20" s="2">
        <f t="shared" si="1"/>
        <v>5050.3200000000006</v>
      </c>
      <c r="P20" s="16">
        <f t="shared" si="2"/>
        <v>3253.7</v>
      </c>
      <c r="Q20" s="22"/>
      <c r="R20" s="46">
        <v>3253.7</v>
      </c>
    </row>
    <row r="21" spans="1:18" x14ac:dyDescent="0.25">
      <c r="A21" s="38">
        <v>15</v>
      </c>
      <c r="B21" s="47" t="s">
        <v>78</v>
      </c>
      <c r="C21" s="14">
        <v>4687.16</v>
      </c>
      <c r="D21" s="24"/>
      <c r="E21" s="24"/>
      <c r="F21" s="24"/>
      <c r="G21" s="24"/>
      <c r="H21" s="24"/>
      <c r="I21" s="27"/>
      <c r="J21" s="27"/>
      <c r="K21" s="12">
        <f t="shared" si="8"/>
        <v>4687.16</v>
      </c>
      <c r="L21" s="3">
        <v>0</v>
      </c>
      <c r="M21" s="3">
        <v>457.7</v>
      </c>
      <c r="N21" s="2">
        <f t="shared" ref="N21" si="14">K21-L21-M21-R21</f>
        <v>233.15999999999985</v>
      </c>
      <c r="O21" s="2">
        <f t="shared" ref="O21" si="15">SUM(L21:N21)</f>
        <v>690.8599999999999</v>
      </c>
      <c r="P21" s="16">
        <f t="shared" ref="P21" si="16">SUM(K21-O21)</f>
        <v>3996.3</v>
      </c>
      <c r="Q21" s="22"/>
      <c r="R21" s="46">
        <v>3996.3</v>
      </c>
    </row>
    <row r="22" spans="1:18" x14ac:dyDescent="0.25">
      <c r="A22" s="38">
        <v>16</v>
      </c>
      <c r="B22" s="47" t="s">
        <v>9</v>
      </c>
      <c r="C22" s="14">
        <f>20022.03+13645.01</f>
        <v>33667.040000000001</v>
      </c>
      <c r="D22" s="24">
        <v>27029.74</v>
      </c>
      <c r="E22" s="24"/>
      <c r="F22" s="24"/>
      <c r="G22" s="24"/>
      <c r="H22" s="24"/>
      <c r="I22" s="27"/>
      <c r="J22" s="27"/>
      <c r="K22" s="12">
        <f t="shared" si="8"/>
        <v>60696.78</v>
      </c>
      <c r="L22" s="3">
        <v>11570.25</v>
      </c>
      <c r="M22" s="3">
        <v>988.07</v>
      </c>
      <c r="N22" s="2">
        <f t="shared" si="9"/>
        <v>14582.370000000003</v>
      </c>
      <c r="O22" s="2">
        <f t="shared" si="1"/>
        <v>27140.690000000002</v>
      </c>
      <c r="P22" s="16">
        <f t="shared" si="2"/>
        <v>33556.089999999997</v>
      </c>
      <c r="Q22" s="22"/>
      <c r="R22" s="46">
        <v>33556.089999999997</v>
      </c>
    </row>
    <row r="23" spans="1:18" x14ac:dyDescent="0.25">
      <c r="A23" s="38">
        <v>17</v>
      </c>
      <c r="B23" s="47" t="s">
        <v>10</v>
      </c>
      <c r="C23" s="14">
        <f>5982.07+2225.33</f>
        <v>8207.4</v>
      </c>
      <c r="D23" s="24">
        <v>1196.4100000000001</v>
      </c>
      <c r="E23" s="24"/>
      <c r="F23" s="24">
        <f>18807.63+6269.21</f>
        <v>25076.84</v>
      </c>
      <c r="G23" s="24">
        <f>9403.82+3134.62</f>
        <v>12538.439999999999</v>
      </c>
      <c r="H23" s="24">
        <v>14105.73</v>
      </c>
      <c r="I23" s="27"/>
      <c r="J23" s="27"/>
      <c r="K23" s="12">
        <f t="shared" si="8"/>
        <v>61124.819999999992</v>
      </c>
      <c r="L23" s="3">
        <f>1510.34+5663.54</f>
        <v>7173.88</v>
      </c>
      <c r="M23" s="3">
        <v>988.07</v>
      </c>
      <c r="N23" s="2">
        <f t="shared" si="9"/>
        <v>46309.119999999995</v>
      </c>
      <c r="O23" s="2">
        <f t="shared" si="1"/>
        <v>54471.069999999992</v>
      </c>
      <c r="P23" s="16">
        <f t="shared" si="2"/>
        <v>6653.75</v>
      </c>
      <c r="Q23" s="22"/>
      <c r="R23" s="46">
        <v>6653.75</v>
      </c>
    </row>
    <row r="24" spans="1:18" x14ac:dyDescent="0.25">
      <c r="A24" s="38">
        <v>18</v>
      </c>
      <c r="B24" s="47" t="s">
        <v>11</v>
      </c>
      <c r="C24" s="14">
        <f>7374.27+1991.05</f>
        <v>9365.32</v>
      </c>
      <c r="D24" s="24"/>
      <c r="E24" s="24"/>
      <c r="F24" s="24">
        <f>1873.06+624.35</f>
        <v>2497.41</v>
      </c>
      <c r="G24" s="24"/>
      <c r="H24" s="24">
        <v>5619.19</v>
      </c>
      <c r="I24" s="27"/>
      <c r="J24" s="27"/>
      <c r="K24" s="12">
        <f t="shared" si="8"/>
        <v>17481.919999999998</v>
      </c>
      <c r="L24" s="3">
        <v>1398</v>
      </c>
      <c r="M24" s="3">
        <v>988.07</v>
      </c>
      <c r="N24" s="2">
        <f t="shared" si="9"/>
        <v>8775.66</v>
      </c>
      <c r="O24" s="2">
        <f t="shared" si="1"/>
        <v>11161.73</v>
      </c>
      <c r="P24" s="16">
        <f t="shared" si="2"/>
        <v>6320.1899999999987</v>
      </c>
      <c r="Q24" s="22"/>
      <c r="R24" s="46">
        <v>6320.19</v>
      </c>
    </row>
    <row r="25" spans="1:18" x14ac:dyDescent="0.25">
      <c r="A25" s="38">
        <v>19</v>
      </c>
      <c r="B25" s="47" t="s">
        <v>71</v>
      </c>
      <c r="C25" s="14">
        <f>1421.48+440.66</f>
        <v>1862.14</v>
      </c>
      <c r="D25" s="24"/>
      <c r="E25" s="24"/>
      <c r="F25" s="24">
        <f>27932.13+4655.35+9310.71+1551.78</f>
        <v>43449.97</v>
      </c>
      <c r="G25" s="24"/>
      <c r="H25" s="24">
        <v>2327.6799999999998</v>
      </c>
      <c r="I25" s="27"/>
      <c r="J25" s="27">
        <v>783496.37</v>
      </c>
      <c r="K25" s="12">
        <f>SUM(C25:J25)</f>
        <v>831136.16</v>
      </c>
      <c r="L25" s="3"/>
      <c r="M25" s="3">
        <f>139.66+174.58</f>
        <v>314.24</v>
      </c>
      <c r="N25" s="2">
        <f t="shared" si="9"/>
        <v>258.36999999999534</v>
      </c>
      <c r="O25" s="2">
        <f t="shared" si="1"/>
        <v>572.60999999999535</v>
      </c>
      <c r="P25" s="16">
        <f t="shared" si="2"/>
        <v>830563.55</v>
      </c>
      <c r="Q25" s="22"/>
      <c r="R25" s="46">
        <v>830563.55</v>
      </c>
    </row>
    <row r="26" spans="1:18" x14ac:dyDescent="0.25">
      <c r="A26" s="38">
        <v>20</v>
      </c>
      <c r="B26" s="47" t="s">
        <v>12</v>
      </c>
      <c r="C26" s="14">
        <v>11946.31</v>
      </c>
      <c r="D26" s="24"/>
      <c r="E26" s="24"/>
      <c r="F26" s="24"/>
      <c r="G26" s="24"/>
      <c r="H26" s="24"/>
      <c r="I26" s="27"/>
      <c r="J26" s="27"/>
      <c r="K26" s="12">
        <f t="shared" si="8"/>
        <v>11946.31</v>
      </c>
      <c r="L26" s="3">
        <v>2052.65</v>
      </c>
      <c r="M26" s="3">
        <v>988.07</v>
      </c>
      <c r="N26" s="2">
        <f t="shared" si="9"/>
        <v>454.82999999999993</v>
      </c>
      <c r="O26" s="2">
        <f t="shared" si="1"/>
        <v>3495.55</v>
      </c>
      <c r="P26" s="16">
        <f>SUM(K26-O26)</f>
        <v>8450.7599999999984</v>
      </c>
      <c r="Q26" s="22"/>
      <c r="R26" s="46">
        <v>8450.76</v>
      </c>
    </row>
    <row r="27" spans="1:18" x14ac:dyDescent="0.25">
      <c r="A27" s="38">
        <v>21</v>
      </c>
      <c r="B27" s="47" t="s">
        <v>13</v>
      </c>
      <c r="C27" s="14">
        <v>12085.04</v>
      </c>
      <c r="D27" s="24"/>
      <c r="E27" s="24"/>
      <c r="F27" s="24"/>
      <c r="G27" s="24"/>
      <c r="H27" s="24"/>
      <c r="I27" s="27"/>
      <c r="J27" s="27"/>
      <c r="K27" s="12">
        <f t="shared" si="8"/>
        <v>12085.04</v>
      </c>
      <c r="L27" s="3">
        <v>2142.94</v>
      </c>
      <c r="M27" s="3">
        <f>200.95+787.12</f>
        <v>988.06999999999994</v>
      </c>
      <c r="N27" s="2">
        <f t="shared" si="9"/>
        <v>9.3500000000003638</v>
      </c>
      <c r="O27" s="2">
        <f t="shared" si="1"/>
        <v>3140.3600000000006</v>
      </c>
      <c r="P27" s="16">
        <f t="shared" si="2"/>
        <v>8944.68</v>
      </c>
      <c r="Q27" s="22"/>
      <c r="R27" s="46">
        <v>8944.68</v>
      </c>
    </row>
    <row r="28" spans="1:18" x14ac:dyDescent="0.25">
      <c r="A28" s="38">
        <v>22</v>
      </c>
      <c r="B28" s="47" t="s">
        <v>85</v>
      </c>
      <c r="C28" s="14">
        <f>496.91+124.23+77.65</f>
        <v>698.79</v>
      </c>
      <c r="D28" s="24"/>
      <c r="E28" s="24"/>
      <c r="F28" s="24">
        <f>3882.1+1294.03</f>
        <v>5176.13</v>
      </c>
      <c r="G28" s="24"/>
      <c r="H28" s="27">
        <v>776.42</v>
      </c>
      <c r="I28" s="27"/>
      <c r="J28" s="27">
        <v>213127.52</v>
      </c>
      <c r="K28" s="12">
        <f>SUM(C28:J28)</f>
        <v>219778.86</v>
      </c>
      <c r="L28" s="3"/>
      <c r="M28" s="3">
        <v>110.64</v>
      </c>
      <c r="N28" s="2">
        <f t="shared" si="9"/>
        <v>9.9999999802093953E-3</v>
      </c>
      <c r="O28" s="2">
        <f t="shared" si="1"/>
        <v>110.64999999998021</v>
      </c>
      <c r="P28" s="16">
        <f t="shared" si="2"/>
        <v>219668.21</v>
      </c>
      <c r="Q28" s="22"/>
      <c r="R28" s="46">
        <v>219668.21</v>
      </c>
    </row>
    <row r="29" spans="1:18" x14ac:dyDescent="0.25">
      <c r="A29" s="38">
        <v>23</v>
      </c>
      <c r="B29" s="47" t="s">
        <v>14</v>
      </c>
      <c r="C29" s="14">
        <v>10553.99</v>
      </c>
      <c r="D29" s="24"/>
      <c r="E29" s="24"/>
      <c r="F29" s="24"/>
      <c r="G29" s="24"/>
      <c r="H29" s="24"/>
      <c r="I29" s="27"/>
      <c r="J29" s="27"/>
      <c r="K29" s="12">
        <f t="shared" si="8"/>
        <v>10553.99</v>
      </c>
      <c r="L29" s="3">
        <v>1721.9</v>
      </c>
      <c r="M29" s="3">
        <v>988.07</v>
      </c>
      <c r="N29" s="2">
        <f t="shared" si="9"/>
        <v>295.80000000000018</v>
      </c>
      <c r="O29" s="2">
        <f t="shared" si="1"/>
        <v>3005.7700000000004</v>
      </c>
      <c r="P29" s="16">
        <f t="shared" si="2"/>
        <v>7548.2199999999993</v>
      </c>
      <c r="Q29" s="22"/>
      <c r="R29" s="46">
        <v>7548.22</v>
      </c>
    </row>
    <row r="30" spans="1:18" x14ac:dyDescent="0.25">
      <c r="A30" s="38">
        <v>24</v>
      </c>
      <c r="B30" s="47" t="s">
        <v>55</v>
      </c>
      <c r="C30" s="14">
        <f>7457.54+522.03</f>
        <v>7979.57</v>
      </c>
      <c r="D30" s="24"/>
      <c r="E30" s="24"/>
      <c r="F30" s="24"/>
      <c r="G30" s="24"/>
      <c r="H30" s="24"/>
      <c r="I30" s="27"/>
      <c r="J30" s="27"/>
      <c r="K30" s="12">
        <f>SUM(C30:I30)</f>
        <v>7979.57</v>
      </c>
      <c r="L30" s="3">
        <v>1033.03</v>
      </c>
      <c r="M30" s="3">
        <v>918.64</v>
      </c>
      <c r="N30" s="2">
        <f t="shared" ref="N30" si="17">K30-L30-M30-R30</f>
        <v>52.849999999999454</v>
      </c>
      <c r="O30" s="2">
        <f t="shared" ref="O30" si="18">SUM(L30:N30)</f>
        <v>2004.5199999999995</v>
      </c>
      <c r="P30" s="16">
        <f>SUM(K30-O30)</f>
        <v>5975.05</v>
      </c>
      <c r="Q30" s="22"/>
      <c r="R30" s="46">
        <v>5975.05</v>
      </c>
    </row>
    <row r="31" spans="1:18" x14ac:dyDescent="0.25">
      <c r="A31" s="38">
        <v>25</v>
      </c>
      <c r="B31" s="47" t="s">
        <v>15</v>
      </c>
      <c r="C31" s="14">
        <v>4449.41</v>
      </c>
      <c r="D31" s="24"/>
      <c r="E31" s="24"/>
      <c r="F31" s="24"/>
      <c r="G31" s="24"/>
      <c r="H31" s="24"/>
      <c r="I31" s="27"/>
      <c r="J31" s="27"/>
      <c r="K31" s="12">
        <f>SUM(C31:I31)</f>
        <v>4449.41</v>
      </c>
      <c r="L31" s="3">
        <v>0</v>
      </c>
      <c r="M31" s="3">
        <v>424.41</v>
      </c>
      <c r="N31" s="2">
        <f t="shared" si="9"/>
        <v>1290.5900000000001</v>
      </c>
      <c r="O31" s="2">
        <f t="shared" si="1"/>
        <v>1715.0000000000002</v>
      </c>
      <c r="P31" s="16">
        <f>SUM(K31-O31)</f>
        <v>2734.41</v>
      </c>
      <c r="Q31" s="22"/>
      <c r="R31" s="46">
        <v>2734.41</v>
      </c>
    </row>
    <row r="32" spans="1:18" x14ac:dyDescent="0.25">
      <c r="A32" s="38">
        <v>26</v>
      </c>
      <c r="B32" s="47" t="s">
        <v>79</v>
      </c>
      <c r="C32" s="14">
        <v>4734.03</v>
      </c>
      <c r="D32" s="24"/>
      <c r="E32" s="24"/>
      <c r="F32" s="24"/>
      <c r="G32" s="24"/>
      <c r="H32" s="24"/>
      <c r="I32" s="27"/>
      <c r="J32" s="27"/>
      <c r="K32" s="12">
        <f>SUM(C32:I32)</f>
        <v>4734.03</v>
      </c>
      <c r="L32" s="3">
        <v>0</v>
      </c>
      <c r="M32" s="3">
        <v>464.26</v>
      </c>
      <c r="N32" s="2">
        <f t="shared" ref="N32:N33" si="19">K32-L32-M32-R32</f>
        <v>49.349999999999454</v>
      </c>
      <c r="O32" s="2">
        <f t="shared" ref="O32:O33" si="20">SUM(L32:N32)</f>
        <v>513.60999999999945</v>
      </c>
      <c r="P32" s="16">
        <f>SUM(K32-O32)</f>
        <v>4220.42</v>
      </c>
      <c r="Q32" s="22"/>
      <c r="R32" s="46">
        <v>4220.42</v>
      </c>
    </row>
    <row r="33" spans="1:18" x14ac:dyDescent="0.25">
      <c r="A33" s="38">
        <v>27</v>
      </c>
      <c r="B33" s="47" t="s">
        <v>80</v>
      </c>
      <c r="C33" s="14">
        <f>4288.49+42.89</f>
        <v>4331.38</v>
      </c>
      <c r="D33" s="24"/>
      <c r="E33" s="24"/>
      <c r="F33" s="24">
        <f>309.38+103.13</f>
        <v>412.51</v>
      </c>
      <c r="G33" s="24"/>
      <c r="H33" s="24"/>
      <c r="I33" s="27"/>
      <c r="J33" s="27"/>
      <c r="K33" s="12">
        <f>SUM(C33:I33)</f>
        <v>4743.8900000000003</v>
      </c>
      <c r="L33" s="3">
        <v>0</v>
      </c>
      <c r="M33" s="3">
        <f>430.35+35.29</f>
        <v>465.64000000000004</v>
      </c>
      <c r="N33" s="2">
        <f t="shared" si="19"/>
        <v>426.57000000000016</v>
      </c>
      <c r="O33" s="2">
        <f t="shared" si="20"/>
        <v>892.21000000000026</v>
      </c>
      <c r="P33" s="16">
        <f>SUM(K33-O33)</f>
        <v>3851.6800000000003</v>
      </c>
      <c r="Q33" s="22"/>
      <c r="R33" s="46">
        <v>3851.68</v>
      </c>
    </row>
    <row r="34" spans="1:18" x14ac:dyDescent="0.25">
      <c r="A34" s="38">
        <v>28</v>
      </c>
      <c r="B34" s="47" t="s">
        <v>16</v>
      </c>
      <c r="C34" s="14">
        <f>7172.04+1463.1</f>
        <v>8635.14</v>
      </c>
      <c r="D34" s="24">
        <v>1434.41</v>
      </c>
      <c r="E34" s="24"/>
      <c r="F34" s="24">
        <f>2013.91+671.3</f>
        <v>2685.21</v>
      </c>
      <c r="G34" s="24">
        <f>4027.82+1342.61</f>
        <v>5370.43</v>
      </c>
      <c r="H34" s="24">
        <v>6041.73</v>
      </c>
      <c r="I34" s="27"/>
      <c r="J34" s="27"/>
      <c r="K34" s="12">
        <f>SUM(C34:I34)</f>
        <v>24166.92</v>
      </c>
      <c r="L34" s="3">
        <v>1648.45</v>
      </c>
      <c r="M34" s="3">
        <v>988.07</v>
      </c>
      <c r="N34" s="2">
        <f t="shared" si="9"/>
        <v>13961.379999999997</v>
      </c>
      <c r="O34" s="2">
        <f t="shared" si="1"/>
        <v>16597.899999999998</v>
      </c>
      <c r="P34" s="16">
        <f t="shared" si="2"/>
        <v>7569.02</v>
      </c>
      <c r="Q34" s="22"/>
      <c r="R34" s="46">
        <v>7569.02</v>
      </c>
    </row>
    <row r="35" spans="1:18" x14ac:dyDescent="0.25">
      <c r="A35" s="38">
        <v>29</v>
      </c>
      <c r="B35" s="47" t="s">
        <v>17</v>
      </c>
      <c r="C35" s="14">
        <f>18490.01+6434.52</f>
        <v>24924.53</v>
      </c>
      <c r="D35" s="24">
        <v>3698</v>
      </c>
      <c r="E35" s="24"/>
      <c r="F35" s="24"/>
      <c r="G35" s="24"/>
      <c r="H35" s="24"/>
      <c r="I35" s="27"/>
      <c r="J35" s="27"/>
      <c r="K35" s="12">
        <f t="shared" ref="K35:K41" si="21">SUM(C35:I35)</f>
        <v>28622.53</v>
      </c>
      <c r="L35" s="3">
        <v>6690.75</v>
      </c>
      <c r="M35" s="3">
        <v>988.07</v>
      </c>
      <c r="N35" s="2">
        <f t="shared" si="9"/>
        <v>246.02000000000044</v>
      </c>
      <c r="O35" s="2">
        <f t="shared" si="1"/>
        <v>7924.84</v>
      </c>
      <c r="P35" s="16">
        <f t="shared" si="2"/>
        <v>20697.689999999999</v>
      </c>
      <c r="Q35" s="22"/>
      <c r="R35" s="46">
        <v>20697.689999999999</v>
      </c>
    </row>
    <row r="36" spans="1:18" x14ac:dyDescent="0.25">
      <c r="A36" s="38">
        <v>30</v>
      </c>
      <c r="B36" s="47" t="s">
        <v>56</v>
      </c>
      <c r="C36" s="14">
        <f>5033.68+966.47</f>
        <v>6000.1500000000005</v>
      </c>
      <c r="D36" s="24">
        <v>1006.73</v>
      </c>
      <c r="E36" s="24"/>
      <c r="F36" s="24">
        <f>4056.61+1352.2</f>
        <v>5408.81</v>
      </c>
      <c r="G36" s="24"/>
      <c r="H36" s="24">
        <v>5531.75</v>
      </c>
      <c r="I36" s="27"/>
      <c r="J36" s="27"/>
      <c r="K36" s="12">
        <f t="shared" si="21"/>
        <v>17947.440000000002</v>
      </c>
      <c r="L36" s="3">
        <f>805.49+153.27</f>
        <v>958.76</v>
      </c>
      <c r="M36" s="3">
        <v>988.07</v>
      </c>
      <c r="N36" s="2">
        <f t="shared" si="9"/>
        <v>10534.940000000004</v>
      </c>
      <c r="O36" s="2">
        <f t="shared" si="1"/>
        <v>12481.770000000004</v>
      </c>
      <c r="P36" s="16">
        <f t="shared" si="2"/>
        <v>5465.6699999999983</v>
      </c>
      <c r="Q36" s="22"/>
      <c r="R36" s="46">
        <v>5465.67</v>
      </c>
    </row>
    <row r="37" spans="1:18" x14ac:dyDescent="0.25">
      <c r="A37" s="38">
        <v>31</v>
      </c>
      <c r="B37" s="47" t="s">
        <v>18</v>
      </c>
      <c r="C37" s="14">
        <f>7714.16+1241.37</f>
        <v>8955.5299999999988</v>
      </c>
      <c r="D37" s="24">
        <f>1542.83+1087.77</f>
        <v>2630.6</v>
      </c>
      <c r="E37" s="24"/>
      <c r="F37" s="24"/>
      <c r="G37" s="24"/>
      <c r="H37" s="24"/>
      <c r="I37" s="27"/>
      <c r="J37" s="27"/>
      <c r="K37" s="12">
        <f t="shared" si="21"/>
        <v>11586.13</v>
      </c>
      <c r="L37" s="3">
        <v>1901.47</v>
      </c>
      <c r="M37" s="3">
        <v>988.07</v>
      </c>
      <c r="N37" s="2">
        <f t="shared" si="9"/>
        <v>1150.3800000000001</v>
      </c>
      <c r="O37" s="2">
        <f t="shared" si="1"/>
        <v>4039.92</v>
      </c>
      <c r="P37" s="16">
        <f>SUM(K37-O37)</f>
        <v>7546.2099999999991</v>
      </c>
      <c r="Q37" s="22"/>
      <c r="R37" s="46">
        <v>7546.21</v>
      </c>
    </row>
    <row r="38" spans="1:18" x14ac:dyDescent="0.25">
      <c r="A38" s="38">
        <v>32</v>
      </c>
      <c r="B38" s="47" t="s">
        <v>83</v>
      </c>
      <c r="C38" s="14">
        <v>6197.53</v>
      </c>
      <c r="D38" s="24">
        <v>1239.51</v>
      </c>
      <c r="E38" s="24"/>
      <c r="F38" s="24"/>
      <c r="G38" s="24"/>
      <c r="H38" s="24"/>
      <c r="I38" s="27"/>
      <c r="J38" s="27"/>
      <c r="K38" s="12">
        <f t="shared" si="21"/>
        <v>7437.04</v>
      </c>
      <c r="L38" s="3">
        <v>800.45</v>
      </c>
      <c r="M38" s="3">
        <v>842.68</v>
      </c>
      <c r="N38" s="2">
        <f t="shared" si="9"/>
        <v>440.68000000000029</v>
      </c>
      <c r="O38" s="2">
        <f t="shared" si="1"/>
        <v>2083.8100000000004</v>
      </c>
      <c r="P38" s="16">
        <f>SUM(K38-O38)</f>
        <v>5353.23</v>
      </c>
      <c r="Q38" s="22"/>
      <c r="R38" s="46">
        <v>5353.23</v>
      </c>
    </row>
    <row r="39" spans="1:18" x14ac:dyDescent="0.25">
      <c r="A39" s="38">
        <v>33</v>
      </c>
      <c r="B39" s="47" t="s">
        <v>53</v>
      </c>
      <c r="C39" s="14">
        <f>2978.73+238.3</f>
        <v>3217.03</v>
      </c>
      <c r="D39" s="24"/>
      <c r="E39" s="24"/>
      <c r="F39" s="24">
        <f>804.26+268.09</f>
        <v>1072.3499999999999</v>
      </c>
      <c r="G39" s="24"/>
      <c r="H39" s="24">
        <v>2010.64</v>
      </c>
      <c r="I39" s="27"/>
      <c r="J39" s="27"/>
      <c r="K39" s="12">
        <f t="shared" si="21"/>
        <v>6300.02</v>
      </c>
      <c r="L39" s="3">
        <v>0</v>
      </c>
      <c r="M39" s="3">
        <f>300.82+102.49</f>
        <v>403.31</v>
      </c>
      <c r="N39" s="2">
        <f t="shared" ref="N39" si="22">K39-L39-M39-R39</f>
        <v>3048.4700000000003</v>
      </c>
      <c r="O39" s="2">
        <f t="shared" ref="O39" si="23">SUM(L39:N39)</f>
        <v>3451.78</v>
      </c>
      <c r="P39" s="16">
        <f t="shared" ref="P39" si="24">SUM(K39-O39)</f>
        <v>2848.2400000000002</v>
      </c>
      <c r="Q39" s="22"/>
      <c r="R39" s="46">
        <v>2848.24</v>
      </c>
    </row>
    <row r="40" spans="1:18" x14ac:dyDescent="0.25">
      <c r="A40" s="38">
        <v>34</v>
      </c>
      <c r="B40" s="47" t="s">
        <v>19</v>
      </c>
      <c r="C40" s="14">
        <f>4182.16+741.67</f>
        <v>4923.83</v>
      </c>
      <c r="D40" s="24">
        <v>453.23</v>
      </c>
      <c r="E40" s="24"/>
      <c r="F40" s="24">
        <f>970.26+323.42</f>
        <v>1293.68</v>
      </c>
      <c r="G40" s="24"/>
      <c r="H40" s="24">
        <v>2910.78</v>
      </c>
      <c r="I40" s="27"/>
      <c r="J40" s="27"/>
      <c r="K40" s="12">
        <f t="shared" si="21"/>
        <v>9581.52</v>
      </c>
      <c r="L40" s="3">
        <v>131.72</v>
      </c>
      <c r="M40" s="3">
        <f>638.38+97.02</f>
        <v>735.4</v>
      </c>
      <c r="N40" s="2">
        <f t="shared" si="9"/>
        <v>5000.9400000000014</v>
      </c>
      <c r="O40" s="2">
        <f t="shared" si="1"/>
        <v>5868.0600000000013</v>
      </c>
      <c r="P40" s="16">
        <f t="shared" si="2"/>
        <v>3713.4599999999991</v>
      </c>
      <c r="Q40" s="22"/>
      <c r="R40" s="46">
        <v>3713.46</v>
      </c>
    </row>
    <row r="41" spans="1:18" x14ac:dyDescent="0.25">
      <c r="A41" s="38">
        <v>35</v>
      </c>
      <c r="B41" s="47" t="s">
        <v>20</v>
      </c>
      <c r="C41" s="14">
        <f>17604.22+6337.52</f>
        <v>23941.74</v>
      </c>
      <c r="D41" s="24">
        <v>3520.84</v>
      </c>
      <c r="E41" s="24"/>
      <c r="F41" s="24">
        <f>1961.61+653.87</f>
        <v>2615.48</v>
      </c>
      <c r="G41" s="24"/>
      <c r="H41" s="24"/>
      <c r="I41" s="27"/>
      <c r="J41" s="27"/>
      <c r="K41" s="12">
        <f t="shared" si="21"/>
        <v>30078.06</v>
      </c>
      <c r="L41" s="3">
        <v>6302.38</v>
      </c>
      <c r="M41" s="3">
        <f>861.19+126.88</f>
        <v>988.07</v>
      </c>
      <c r="N41" s="2">
        <f t="shared" si="9"/>
        <v>2590.9500000000007</v>
      </c>
      <c r="O41" s="2">
        <f t="shared" si="1"/>
        <v>9881.4000000000015</v>
      </c>
      <c r="P41" s="16">
        <f t="shared" si="2"/>
        <v>20196.66</v>
      </c>
      <c r="Q41" s="22"/>
      <c r="R41" s="46">
        <v>20196.66</v>
      </c>
    </row>
    <row r="42" spans="1:18" x14ac:dyDescent="0.25">
      <c r="A42" s="38">
        <v>36</v>
      </c>
      <c r="B42" s="48" t="s">
        <v>21</v>
      </c>
      <c r="C42" s="29">
        <f>250.51+40.08</f>
        <v>290.58999999999997</v>
      </c>
      <c r="D42" s="25"/>
      <c r="E42" s="25"/>
      <c r="F42" s="25">
        <f>2179.44+726.48</f>
        <v>2905.92</v>
      </c>
      <c r="G42" s="24"/>
      <c r="H42" s="24">
        <v>363.24</v>
      </c>
      <c r="I42" s="27"/>
      <c r="J42" s="27">
        <v>64729.45</v>
      </c>
      <c r="K42" s="30">
        <f>SUM(C42:J42)</f>
        <v>68289.2</v>
      </c>
      <c r="L42" s="31">
        <v>0</v>
      </c>
      <c r="M42" s="31">
        <v>49.03</v>
      </c>
      <c r="N42" s="32">
        <f t="shared" ref="N42:N65" si="25">K42-L42-M42-R42</f>
        <v>0</v>
      </c>
      <c r="O42" s="32">
        <f t="shared" si="1"/>
        <v>49.03</v>
      </c>
      <c r="P42" s="33">
        <f t="shared" si="2"/>
        <v>68240.17</v>
      </c>
      <c r="Q42" s="22"/>
      <c r="R42" s="46">
        <v>68240.17</v>
      </c>
    </row>
    <row r="43" spans="1:18" x14ac:dyDescent="0.25">
      <c r="A43" s="38">
        <v>37</v>
      </c>
      <c r="B43" s="48" t="s">
        <v>73</v>
      </c>
      <c r="C43" s="29">
        <v>5023.8</v>
      </c>
      <c r="D43" s="25"/>
      <c r="E43" s="25"/>
      <c r="F43" s="25"/>
      <c r="G43" s="24"/>
      <c r="H43" s="24"/>
      <c r="I43" s="27"/>
      <c r="J43" s="27"/>
      <c r="K43" s="30">
        <f t="shared" ref="K43" si="26">SUM(C43:I43)</f>
        <v>5023.8</v>
      </c>
      <c r="L43" s="31">
        <v>0</v>
      </c>
      <c r="M43" s="31">
        <v>504.83</v>
      </c>
      <c r="N43" s="32">
        <f t="shared" ref="N43" si="27">K43-L43-M43-R43</f>
        <v>233.15999999999985</v>
      </c>
      <c r="O43" s="32">
        <f t="shared" ref="O43" si="28">SUM(L43:N43)</f>
        <v>737.98999999999978</v>
      </c>
      <c r="P43" s="33">
        <f t="shared" ref="P43" si="29">SUM(K43-O43)</f>
        <v>4285.8100000000004</v>
      </c>
      <c r="Q43" s="22"/>
      <c r="R43" s="46">
        <v>4285.8100000000004</v>
      </c>
    </row>
    <row r="44" spans="1:18" x14ac:dyDescent="0.25">
      <c r="A44" s="38">
        <v>38</v>
      </c>
      <c r="B44" s="47" t="s">
        <v>22</v>
      </c>
      <c r="C44" s="14">
        <f>6063.01+1859.2</f>
        <v>7922.21</v>
      </c>
      <c r="D44" s="24">
        <v>1087.77</v>
      </c>
      <c r="E44" s="24"/>
      <c r="F44" s="24"/>
      <c r="G44" s="24"/>
      <c r="H44" s="24"/>
      <c r="I44" s="27"/>
      <c r="J44" s="27"/>
      <c r="K44" s="12">
        <f t="shared" ref="K42:K52" si="30">SUM(C44:I44)</f>
        <v>9009.98</v>
      </c>
      <c r="L44" s="3">
        <v>1297.3</v>
      </c>
      <c r="M44" s="3">
        <v>988.07</v>
      </c>
      <c r="N44" s="2">
        <f t="shared" si="25"/>
        <v>878.60999999999967</v>
      </c>
      <c r="O44" s="2">
        <f t="shared" si="1"/>
        <v>3163.9799999999996</v>
      </c>
      <c r="P44" s="16">
        <f t="shared" si="2"/>
        <v>5846</v>
      </c>
      <c r="Q44" s="22"/>
      <c r="R44" s="46">
        <v>5846</v>
      </c>
    </row>
    <row r="45" spans="1:18" x14ac:dyDescent="0.25">
      <c r="A45" s="38">
        <v>39</v>
      </c>
      <c r="B45" s="47" t="s">
        <v>23</v>
      </c>
      <c r="C45" s="14">
        <f>12766.35+2425.61</f>
        <v>15191.960000000001</v>
      </c>
      <c r="D45" s="24"/>
      <c r="E45" s="24"/>
      <c r="F45" s="24"/>
      <c r="G45" s="24"/>
      <c r="H45" s="24"/>
      <c r="I45" s="27">
        <v>4951.3</v>
      </c>
      <c r="J45" s="27"/>
      <c r="K45" s="12">
        <f t="shared" si="30"/>
        <v>20143.260000000002</v>
      </c>
      <c r="L45" s="3">
        <v>4306.8100000000004</v>
      </c>
      <c r="M45" s="3">
        <f>689.55+298.52</f>
        <v>988.06999999999994</v>
      </c>
      <c r="N45" s="2">
        <f t="shared" si="25"/>
        <v>911.38000000000102</v>
      </c>
      <c r="O45" s="2">
        <f t="shared" si="1"/>
        <v>6206.2600000000011</v>
      </c>
      <c r="P45" s="16">
        <f t="shared" si="2"/>
        <v>13937</v>
      </c>
      <c r="Q45" s="22"/>
      <c r="R45" s="46">
        <v>13937</v>
      </c>
    </row>
    <row r="46" spans="1:18" x14ac:dyDescent="0.25">
      <c r="A46" s="38">
        <v>40</v>
      </c>
      <c r="B46" s="47" t="s">
        <v>24</v>
      </c>
      <c r="C46" s="14">
        <f>7279.34+3950.13</f>
        <v>11229.470000000001</v>
      </c>
      <c r="D46" s="24">
        <f>6341.78</f>
        <v>6341.78</v>
      </c>
      <c r="E46" s="24"/>
      <c r="F46" s="24">
        <f>3514.25+1171.42</f>
        <v>4685.67</v>
      </c>
      <c r="G46" s="24">
        <f>7028.5+2342.83</f>
        <v>9371.33</v>
      </c>
      <c r="H46" s="24">
        <v>10542.75</v>
      </c>
      <c r="I46" s="27"/>
      <c r="J46" s="27"/>
      <c r="K46" s="12">
        <f t="shared" si="30"/>
        <v>42171</v>
      </c>
      <c r="L46" s="3">
        <v>3756.38</v>
      </c>
      <c r="M46" s="3">
        <v>988.07</v>
      </c>
      <c r="N46" s="2">
        <f>K46-L46-M46-R46</f>
        <v>25207.08</v>
      </c>
      <c r="O46" s="2">
        <f>SUM(L46:N46)</f>
        <v>29951.530000000002</v>
      </c>
      <c r="P46" s="16">
        <f t="shared" si="2"/>
        <v>12219.469999999998</v>
      </c>
      <c r="Q46" s="22"/>
      <c r="R46" s="46">
        <v>12219.47</v>
      </c>
    </row>
    <row r="47" spans="1:18" x14ac:dyDescent="0.25">
      <c r="A47" s="38">
        <v>41</v>
      </c>
      <c r="B47" s="47" t="s">
        <v>25</v>
      </c>
      <c r="C47" s="14">
        <f>8353.33+1904.56</f>
        <v>10257.89</v>
      </c>
      <c r="D47" s="24">
        <v>1670.67</v>
      </c>
      <c r="E47" s="24"/>
      <c r="F47" s="24"/>
      <c r="G47" s="24"/>
      <c r="H47" s="24"/>
      <c r="I47" s="27"/>
      <c r="J47" s="27"/>
      <c r="K47" s="12">
        <f t="shared" si="30"/>
        <v>11928.56</v>
      </c>
      <c r="L47" s="3">
        <v>1995.63</v>
      </c>
      <c r="M47" s="3">
        <f>36.45+951.62</f>
        <v>988.07</v>
      </c>
      <c r="N47" s="2">
        <f t="shared" si="25"/>
        <v>755.73000000000047</v>
      </c>
      <c r="O47" s="2">
        <f t="shared" si="1"/>
        <v>3739.4300000000007</v>
      </c>
      <c r="P47" s="16">
        <f t="shared" si="2"/>
        <v>8189.1299999999992</v>
      </c>
      <c r="Q47" s="22"/>
      <c r="R47" s="46">
        <v>8189.13</v>
      </c>
    </row>
    <row r="48" spans="1:18" x14ac:dyDescent="0.25">
      <c r="A48" s="38">
        <v>42</v>
      </c>
      <c r="B48" s="47" t="s">
        <v>77</v>
      </c>
      <c r="C48" s="14">
        <v>3577.08</v>
      </c>
      <c r="D48" s="24"/>
      <c r="E48" s="24"/>
      <c r="F48" s="24"/>
      <c r="G48" s="24"/>
      <c r="H48" s="24"/>
      <c r="I48" s="27"/>
      <c r="J48" s="27"/>
      <c r="K48" s="12">
        <f t="shared" si="30"/>
        <v>3577.08</v>
      </c>
      <c r="L48" s="3">
        <v>0</v>
      </c>
      <c r="M48" s="3">
        <v>317.83</v>
      </c>
      <c r="N48" s="2">
        <f t="shared" ref="N48" si="31">K48-L48-M48-R48</f>
        <v>66.710000000000036</v>
      </c>
      <c r="O48" s="2">
        <f t="shared" ref="O48" si="32">SUM(L48:N48)</f>
        <v>384.54</v>
      </c>
      <c r="P48" s="16">
        <f t="shared" ref="P48" si="33">SUM(K48-O48)</f>
        <v>3192.54</v>
      </c>
      <c r="Q48" s="22"/>
      <c r="R48" s="46">
        <v>3192.54</v>
      </c>
    </row>
    <row r="49" spans="1:18" x14ac:dyDescent="0.25">
      <c r="A49" s="38">
        <v>43</v>
      </c>
      <c r="B49" s="47" t="s">
        <v>26</v>
      </c>
      <c r="C49" s="14">
        <f>7441.96+2947.02</f>
        <v>10388.98</v>
      </c>
      <c r="D49" s="24">
        <v>1488.39</v>
      </c>
      <c r="E49" s="24"/>
      <c r="F49" s="24">
        <f>2375.47+791.82</f>
        <v>3167.29</v>
      </c>
      <c r="G49" s="24"/>
      <c r="H49" s="24">
        <v>7126.42</v>
      </c>
      <c r="I49" s="27"/>
      <c r="J49" s="27"/>
      <c r="K49" s="12">
        <f t="shared" si="30"/>
        <v>22171.08</v>
      </c>
      <c r="L49" s="3">
        <v>2107.5700000000002</v>
      </c>
      <c r="M49" s="3">
        <v>988.07</v>
      </c>
      <c r="N49" s="2">
        <f t="shared" si="25"/>
        <v>12355.670000000002</v>
      </c>
      <c r="O49" s="2">
        <f t="shared" si="1"/>
        <v>15451.310000000001</v>
      </c>
      <c r="P49" s="16">
        <f>SUM(K49-O49)</f>
        <v>6719.77</v>
      </c>
      <c r="Q49" s="22"/>
      <c r="R49" s="46">
        <v>6719.77</v>
      </c>
    </row>
    <row r="50" spans="1:18" x14ac:dyDescent="0.25">
      <c r="A50" s="38">
        <v>44</v>
      </c>
      <c r="B50" s="47" t="s">
        <v>27</v>
      </c>
      <c r="C50" s="14">
        <f>6823.95+1310.2</f>
        <v>8134.15</v>
      </c>
      <c r="D50" s="24">
        <v>1364.79</v>
      </c>
      <c r="E50" s="24"/>
      <c r="F50" s="24">
        <f>1899.79+633.26</f>
        <v>2533.0500000000002</v>
      </c>
      <c r="G50" s="24">
        <f>3799.58+1266.53</f>
        <v>5066.1099999999997</v>
      </c>
      <c r="H50" s="24">
        <v>5699.37</v>
      </c>
      <c r="I50" s="27"/>
      <c r="J50" s="27"/>
      <c r="K50" s="12">
        <f t="shared" si="30"/>
        <v>22797.469999999998</v>
      </c>
      <c r="L50" s="3">
        <v>1487.76</v>
      </c>
      <c r="M50" s="3">
        <v>988.07</v>
      </c>
      <c r="N50" s="2">
        <f t="shared" si="25"/>
        <v>14125.349999999999</v>
      </c>
      <c r="O50" s="2">
        <f t="shared" si="1"/>
        <v>16601.18</v>
      </c>
      <c r="P50" s="16">
        <f>SUM(K50-O50)</f>
        <v>6196.2899999999972</v>
      </c>
      <c r="Q50" s="22"/>
      <c r="R50" s="46">
        <v>6196.29</v>
      </c>
    </row>
    <row r="51" spans="1:18" x14ac:dyDescent="0.25">
      <c r="A51" s="38">
        <v>45</v>
      </c>
      <c r="B51" s="47" t="s">
        <v>28</v>
      </c>
      <c r="C51" s="14">
        <f>402.99+64.47</f>
        <v>467.46000000000004</v>
      </c>
      <c r="D51" s="24"/>
      <c r="E51" s="24"/>
      <c r="F51" s="24">
        <f>4674.66+1558.22</f>
        <v>6232.88</v>
      </c>
      <c r="G51" s="24"/>
      <c r="H51" s="24">
        <v>584.33000000000004</v>
      </c>
      <c r="I51" s="27"/>
      <c r="J51" s="27">
        <v>105179.87</v>
      </c>
      <c r="K51" s="12">
        <f>SUM(C51:J51)</f>
        <v>112464.54</v>
      </c>
      <c r="L51" s="3"/>
      <c r="M51" s="3">
        <f>35.06+43.82</f>
        <v>78.88</v>
      </c>
      <c r="N51" s="2">
        <f t="shared" si="25"/>
        <v>2549.6299999999901</v>
      </c>
      <c r="O51" s="2">
        <f t="shared" si="1"/>
        <v>2628.5099999999902</v>
      </c>
      <c r="P51" s="16">
        <f t="shared" si="2"/>
        <v>109836.03</v>
      </c>
      <c r="Q51" s="22"/>
      <c r="R51" s="46">
        <v>109836.03</v>
      </c>
    </row>
    <row r="52" spans="1:18" x14ac:dyDescent="0.25">
      <c r="A52" s="38">
        <v>46</v>
      </c>
      <c r="B52" s="47" t="s">
        <v>87</v>
      </c>
      <c r="C52" s="14">
        <v>5453.83</v>
      </c>
      <c r="D52" s="24"/>
      <c r="E52" s="24"/>
      <c r="F52" s="24"/>
      <c r="G52" s="24"/>
      <c r="H52" s="24"/>
      <c r="I52" s="27"/>
      <c r="J52" s="27"/>
      <c r="K52" s="12">
        <f t="shared" si="30"/>
        <v>5453.83</v>
      </c>
      <c r="L52" s="3">
        <v>171.62</v>
      </c>
      <c r="M52" s="3">
        <v>565.03</v>
      </c>
      <c r="N52" s="2">
        <f t="shared" si="25"/>
        <v>51.850000000000364</v>
      </c>
      <c r="O52" s="2">
        <f t="shared" si="1"/>
        <v>788.50000000000034</v>
      </c>
      <c r="P52" s="16">
        <f t="shared" ref="P52" si="34">SUM(K52-O52)</f>
        <v>4665.33</v>
      </c>
      <c r="Q52" s="22"/>
      <c r="R52" s="46">
        <v>4665.33</v>
      </c>
    </row>
    <row r="53" spans="1:18" x14ac:dyDescent="0.25">
      <c r="A53" s="38">
        <v>47</v>
      </c>
      <c r="B53" s="47" t="s">
        <v>29</v>
      </c>
      <c r="C53" s="14">
        <f>5675.36+1350.73</f>
        <v>7026.09</v>
      </c>
      <c r="D53" s="24">
        <v>2270.14</v>
      </c>
      <c r="E53" s="24"/>
      <c r="F53" s="24">
        <f>3984.1+1328.03</f>
        <v>5312.13</v>
      </c>
      <c r="G53" s="24">
        <f>2656.07+885.36</f>
        <v>3541.4300000000003</v>
      </c>
      <c r="H53" s="24"/>
      <c r="I53" s="27"/>
      <c r="J53" s="27"/>
      <c r="K53" s="12">
        <f t="shared" ref="K53:K62" si="35">SUM(C53:I53)</f>
        <v>18149.79</v>
      </c>
      <c r="L53" s="3">
        <v>1480.89</v>
      </c>
      <c r="M53" s="3">
        <f>417.1+570.97</f>
        <v>988.07</v>
      </c>
      <c r="N53" s="2">
        <f t="shared" si="25"/>
        <v>8587.2500000000018</v>
      </c>
      <c r="O53" s="2">
        <f t="shared" si="1"/>
        <v>11056.210000000003</v>
      </c>
      <c r="P53" s="16">
        <f t="shared" si="2"/>
        <v>7093.5799999999981</v>
      </c>
      <c r="Q53" s="22"/>
      <c r="R53" s="46">
        <v>7093.58</v>
      </c>
    </row>
    <row r="54" spans="1:18" x14ac:dyDescent="0.25">
      <c r="A54" s="38">
        <v>48</v>
      </c>
      <c r="B54" s="47" t="s">
        <v>88</v>
      </c>
      <c r="C54" s="14">
        <v>3114.89</v>
      </c>
      <c r="D54" s="24"/>
      <c r="E54" s="24"/>
      <c r="F54" s="24"/>
      <c r="G54" s="24"/>
      <c r="H54" s="24"/>
      <c r="I54" s="27"/>
      <c r="J54" s="27"/>
      <c r="K54" s="12">
        <f t="shared" ref="K54" si="36">SUM(C54:I54)</f>
        <v>3114.89</v>
      </c>
      <c r="L54" s="3">
        <v>0</v>
      </c>
      <c r="M54" s="3">
        <v>262.37</v>
      </c>
      <c r="N54" s="2">
        <f t="shared" ref="N54" si="37">K54-L54-M54-R54</f>
        <v>249.59000000000015</v>
      </c>
      <c r="O54" s="2">
        <f t="shared" ref="O54" si="38">SUM(L54:N54)</f>
        <v>511.96000000000015</v>
      </c>
      <c r="P54" s="16">
        <f t="shared" ref="P54" si="39">SUM(K54-O54)</f>
        <v>2602.9299999999998</v>
      </c>
      <c r="Q54" s="22"/>
      <c r="R54" s="46">
        <v>2602.9299999999998</v>
      </c>
    </row>
    <row r="55" spans="1:18" x14ac:dyDescent="0.25">
      <c r="A55" s="38">
        <v>49</v>
      </c>
      <c r="B55" s="47" t="s">
        <v>30</v>
      </c>
      <c r="C55" s="14">
        <f>7004.37+1091.16</f>
        <v>8095.53</v>
      </c>
      <c r="D55" s="24">
        <v>1389.18</v>
      </c>
      <c r="E55" s="24"/>
      <c r="F55" s="24">
        <f>1896.94+632.31</f>
        <v>2529.25</v>
      </c>
      <c r="G55" s="24"/>
      <c r="H55" s="24"/>
      <c r="I55" s="27"/>
      <c r="J55" s="27"/>
      <c r="K55" s="12">
        <f t="shared" si="35"/>
        <v>12013.96</v>
      </c>
      <c r="L55" s="3">
        <v>1431.62</v>
      </c>
      <c r="M55" s="3">
        <v>988.07</v>
      </c>
      <c r="N55" s="2">
        <f t="shared" si="25"/>
        <v>3312.6000000000004</v>
      </c>
      <c r="O55" s="2">
        <f t="shared" si="1"/>
        <v>5732.2900000000009</v>
      </c>
      <c r="P55" s="16">
        <f t="shared" si="2"/>
        <v>6281.6699999999983</v>
      </c>
      <c r="Q55" s="22"/>
      <c r="R55" s="46">
        <v>6281.67</v>
      </c>
    </row>
    <row r="56" spans="1:18" x14ac:dyDescent="0.25">
      <c r="A56" s="38">
        <v>50</v>
      </c>
      <c r="B56" s="47" t="s">
        <v>52</v>
      </c>
      <c r="C56" s="14">
        <f>3102.84+248.23</f>
        <v>3351.07</v>
      </c>
      <c r="D56" s="24"/>
      <c r="E56" s="24"/>
      <c r="F56" s="24">
        <f>670.21+223.4</f>
        <v>893.61</v>
      </c>
      <c r="G56" s="24"/>
      <c r="H56" s="24"/>
      <c r="I56" s="27"/>
      <c r="J56" s="27"/>
      <c r="K56" s="12">
        <f t="shared" si="35"/>
        <v>4244.68</v>
      </c>
      <c r="L56" s="3">
        <v>0</v>
      </c>
      <c r="M56" s="3">
        <f>330.93+67.02</f>
        <v>397.95</v>
      </c>
      <c r="N56" s="2">
        <f t="shared" ref="N56" si="40">K56-L56-M56-R56</f>
        <v>1230.1400000000003</v>
      </c>
      <c r="O56" s="2">
        <f t="shared" ref="O56" si="41">SUM(L56:N56)</f>
        <v>1628.0900000000004</v>
      </c>
      <c r="P56" s="16">
        <f t="shared" ref="P56" si="42">SUM(K56-O56)</f>
        <v>2616.59</v>
      </c>
      <c r="Q56" s="22"/>
      <c r="R56" s="46">
        <v>2616.59</v>
      </c>
    </row>
    <row r="57" spans="1:18" x14ac:dyDescent="0.25">
      <c r="A57" s="38">
        <v>51</v>
      </c>
      <c r="B57" s="47" t="s">
        <v>31</v>
      </c>
      <c r="C57" s="14">
        <f>14939.93+5916.21</f>
        <v>20856.14</v>
      </c>
      <c r="D57" s="24">
        <v>2987.98</v>
      </c>
      <c r="E57" s="24"/>
      <c r="F57" s="24">
        <f>5961.03+1987.01</f>
        <v>7948.04</v>
      </c>
      <c r="G57" s="24">
        <f>2980.52+993.51</f>
        <v>3974.0299999999997</v>
      </c>
      <c r="H57" s="24">
        <v>14902.58</v>
      </c>
      <c r="I57" s="27"/>
      <c r="J57" s="27"/>
      <c r="K57" s="12">
        <f t="shared" si="35"/>
        <v>50668.770000000004</v>
      </c>
      <c r="L57" s="3">
        <f>5458.2+6105.26</f>
        <v>11563.46</v>
      </c>
      <c r="M57" s="3">
        <v>988.07</v>
      </c>
      <c r="N57" s="2">
        <f t="shared" si="25"/>
        <v>20781.280000000006</v>
      </c>
      <c r="O57" s="2">
        <f t="shared" si="1"/>
        <v>33332.810000000005</v>
      </c>
      <c r="P57" s="16">
        <f>SUM(K57-O57)</f>
        <v>17335.96</v>
      </c>
      <c r="Q57" s="22"/>
      <c r="R57" s="46">
        <v>17335.96</v>
      </c>
    </row>
    <row r="58" spans="1:18" x14ac:dyDescent="0.25">
      <c r="A58" s="38">
        <v>52</v>
      </c>
      <c r="B58" s="47" t="s">
        <v>32</v>
      </c>
      <c r="C58" s="14">
        <f>253.02+48.07</f>
        <v>301.09000000000003</v>
      </c>
      <c r="D58" s="24"/>
      <c r="E58" s="24"/>
      <c r="F58" s="24">
        <f>4516.34+752.72+1505.45+250.91</f>
        <v>7025.42</v>
      </c>
      <c r="G58" s="24"/>
      <c r="H58" s="24">
        <v>376.36</v>
      </c>
      <c r="I58" s="27"/>
      <c r="J58" s="27">
        <v>77906.789999999994</v>
      </c>
      <c r="K58" s="12">
        <f>SUM(C58:J58)</f>
        <v>85609.659999999989</v>
      </c>
      <c r="L58" s="3">
        <v>0</v>
      </c>
      <c r="M58" s="3">
        <f>15.83+28.23</f>
        <v>44.06</v>
      </c>
      <c r="N58" s="2">
        <f t="shared" si="25"/>
        <v>89.969999999986612</v>
      </c>
      <c r="O58" s="2">
        <f t="shared" si="1"/>
        <v>134.02999999998661</v>
      </c>
      <c r="P58" s="16">
        <f t="shared" si="2"/>
        <v>85475.63</v>
      </c>
      <c r="Q58" s="22"/>
      <c r="R58" s="46">
        <v>85475.63</v>
      </c>
    </row>
    <row r="59" spans="1:18" x14ac:dyDescent="0.25">
      <c r="A59" s="38">
        <v>53</v>
      </c>
      <c r="B59" s="47" t="s">
        <v>69</v>
      </c>
      <c r="C59" s="14">
        <f>4975.52+269.33</f>
        <v>5244.85</v>
      </c>
      <c r="D59" s="24">
        <f>1667.01+90.65</f>
        <v>1757.66</v>
      </c>
      <c r="E59" s="24"/>
      <c r="F59" s="24"/>
      <c r="G59" s="24"/>
      <c r="H59" s="24"/>
      <c r="I59" s="27"/>
      <c r="J59" s="27"/>
      <c r="K59" s="12">
        <f t="shared" si="35"/>
        <v>7002.51</v>
      </c>
      <c r="L59" s="3">
        <v>755.68</v>
      </c>
      <c r="M59" s="3">
        <v>781.85</v>
      </c>
      <c r="N59" s="2">
        <f t="shared" ref="N59" si="43">K59-L59-M59-R59</f>
        <v>117.34999999999945</v>
      </c>
      <c r="O59" s="2">
        <f t="shared" ref="O59" si="44">SUM(L59:N59)</f>
        <v>1654.8799999999994</v>
      </c>
      <c r="P59" s="16">
        <f t="shared" ref="P59" si="45">SUM(K59-O59)</f>
        <v>5347.630000000001</v>
      </c>
      <c r="Q59" s="22"/>
      <c r="R59" s="46">
        <v>5347.63</v>
      </c>
    </row>
    <row r="60" spans="1:18" x14ac:dyDescent="0.25">
      <c r="A60" s="38">
        <v>54</v>
      </c>
      <c r="B60" s="47" t="s">
        <v>74</v>
      </c>
      <c r="C60" s="14">
        <v>4779.97</v>
      </c>
      <c r="D60" s="24"/>
      <c r="E60" s="24"/>
      <c r="F60" s="24"/>
      <c r="G60" s="24"/>
      <c r="H60" s="24"/>
      <c r="I60" s="27"/>
      <c r="J60" s="27"/>
      <c r="K60" s="12">
        <f t="shared" si="35"/>
        <v>4779.97</v>
      </c>
      <c r="L60" s="3">
        <v>0</v>
      </c>
      <c r="M60" s="3">
        <v>470.69</v>
      </c>
      <c r="N60" s="2">
        <f t="shared" ref="N60" si="46">K60-L60-M60-R60</f>
        <v>1193.9600000000005</v>
      </c>
      <c r="O60" s="2">
        <f t="shared" ref="O60" si="47">SUM(L60:N60)</f>
        <v>1664.6500000000005</v>
      </c>
      <c r="P60" s="16">
        <f t="shared" ref="P60" si="48">SUM(K60-O60)</f>
        <v>3115.3199999999997</v>
      </c>
      <c r="Q60" s="22"/>
      <c r="R60" s="46">
        <v>3115.32</v>
      </c>
    </row>
    <row r="61" spans="1:18" x14ac:dyDescent="0.25">
      <c r="A61" s="38">
        <v>55</v>
      </c>
      <c r="B61" s="47" t="s">
        <v>33</v>
      </c>
      <c r="C61" s="14">
        <f>16763.16+8213.95</f>
        <v>24977.11</v>
      </c>
      <c r="D61" s="24">
        <v>6705.26</v>
      </c>
      <c r="E61" s="24"/>
      <c r="F61" s="24"/>
      <c r="G61" s="24"/>
      <c r="H61" s="24"/>
      <c r="I61" s="27"/>
      <c r="J61" s="27"/>
      <c r="K61" s="12">
        <f t="shared" si="35"/>
        <v>31682.370000000003</v>
      </c>
      <c r="L61" s="3">
        <v>7480.07</v>
      </c>
      <c r="M61" s="3">
        <v>988.07</v>
      </c>
      <c r="N61" s="2">
        <f t="shared" si="25"/>
        <v>1528.5600000000049</v>
      </c>
      <c r="O61" s="2">
        <f t="shared" si="1"/>
        <v>9996.7000000000044</v>
      </c>
      <c r="P61" s="16">
        <f>SUM(K61-O61)</f>
        <v>21685.67</v>
      </c>
      <c r="Q61" s="22"/>
      <c r="R61" s="46">
        <v>21685.67</v>
      </c>
    </row>
    <row r="62" spans="1:18" x14ac:dyDescent="0.25">
      <c r="A62" s="38">
        <v>56</v>
      </c>
      <c r="B62" s="47" t="s">
        <v>34</v>
      </c>
      <c r="C62" s="14">
        <f>4199.65+1427.88</f>
        <v>5627.53</v>
      </c>
      <c r="D62" s="24"/>
      <c r="E62" s="24"/>
      <c r="F62" s="24">
        <f>3258.04+1086.01</f>
        <v>4344.05</v>
      </c>
      <c r="G62" s="24">
        <f>2172.03+724.01</f>
        <v>2896.04</v>
      </c>
      <c r="H62" s="24">
        <v>4442.79</v>
      </c>
      <c r="I62" s="27"/>
      <c r="J62" s="27"/>
      <c r="K62" s="12">
        <f t="shared" si="35"/>
        <v>17310.41</v>
      </c>
      <c r="L62" s="3">
        <f>242.52+356.9</f>
        <v>599.41999999999996</v>
      </c>
      <c r="M62" s="3">
        <f>525.47+462.6</f>
        <v>988.07</v>
      </c>
      <c r="N62" s="2">
        <f t="shared" si="25"/>
        <v>12384.270000000002</v>
      </c>
      <c r="O62" s="2">
        <f t="shared" si="1"/>
        <v>13971.760000000002</v>
      </c>
      <c r="P62" s="16">
        <f t="shared" si="2"/>
        <v>3338.6499999999978</v>
      </c>
      <c r="Q62" s="22"/>
      <c r="R62" s="46">
        <v>3338.65</v>
      </c>
    </row>
    <row r="63" spans="1:18" x14ac:dyDescent="0.25">
      <c r="A63" s="38">
        <v>57</v>
      </c>
      <c r="B63" s="47" t="s">
        <v>57</v>
      </c>
      <c r="C63" s="14">
        <f>7053.37+423.2</f>
        <v>7476.57</v>
      </c>
      <c r="D63" s="24"/>
      <c r="E63" s="24"/>
      <c r="F63" s="24"/>
      <c r="G63" s="24"/>
      <c r="H63" s="24"/>
      <c r="I63" s="27"/>
      <c r="J63" s="27"/>
      <c r="K63" s="12">
        <f>SUM(C63:I63)</f>
        <v>7476.57</v>
      </c>
      <c r="L63" s="3">
        <v>914.07</v>
      </c>
      <c r="M63" s="3">
        <v>848.22</v>
      </c>
      <c r="N63" s="2">
        <f t="shared" ref="N63:N64" si="49">K63-L63-M63-R63</f>
        <v>145.84999999999945</v>
      </c>
      <c r="O63" s="2">
        <f t="shared" ref="O63" si="50">SUM(L63:N63)</f>
        <v>1908.1399999999994</v>
      </c>
      <c r="P63" s="16">
        <f t="shared" ref="P63" si="51">SUM(K63-O63)</f>
        <v>5568.43</v>
      </c>
      <c r="Q63" s="22"/>
      <c r="R63" s="46">
        <v>5568.43</v>
      </c>
    </row>
    <row r="64" spans="1:18" x14ac:dyDescent="0.25">
      <c r="A64" s="38">
        <v>58</v>
      </c>
      <c r="B64" s="49" t="s">
        <v>84</v>
      </c>
      <c r="C64" s="43">
        <v>4504.2700000000004</v>
      </c>
      <c r="D64" s="44"/>
      <c r="E64" s="44"/>
      <c r="F64" s="44"/>
      <c r="G64" s="24"/>
      <c r="H64" s="24"/>
      <c r="I64" s="27"/>
      <c r="J64" s="27"/>
      <c r="K64" s="12">
        <f>SUM(C64:I64)</f>
        <v>4504.2700000000004</v>
      </c>
      <c r="L64" s="45">
        <v>0</v>
      </c>
      <c r="M64" s="45">
        <v>432.1</v>
      </c>
      <c r="N64" s="2">
        <f t="shared" si="49"/>
        <v>319.61000000000058</v>
      </c>
      <c r="O64" s="2">
        <f t="shared" ref="O64" si="52">SUM(L64:N64)</f>
        <v>751.7100000000006</v>
      </c>
      <c r="P64" s="16">
        <f t="shared" ref="P64" si="53">SUM(K64-O64)</f>
        <v>3752.56</v>
      </c>
      <c r="Q64" s="22"/>
      <c r="R64" s="46">
        <v>3752.56</v>
      </c>
    </row>
    <row r="65" spans="1:18" ht="15.75" thickBot="1" x14ac:dyDescent="0.3">
      <c r="A65" s="38">
        <v>59</v>
      </c>
      <c r="B65" s="50" t="s">
        <v>35</v>
      </c>
      <c r="C65" s="15">
        <f>10429.01+2482.1</f>
        <v>12911.11</v>
      </c>
      <c r="D65" s="26">
        <v>4171.6000000000004</v>
      </c>
      <c r="E65" s="26"/>
      <c r="F65" s="26">
        <f>3416.54+1138.85</f>
        <v>4555.3899999999994</v>
      </c>
      <c r="G65" s="26">
        <f>6833.08+2277.69</f>
        <v>9110.77</v>
      </c>
      <c r="H65" s="26"/>
      <c r="I65" s="28">
        <v>4951.3</v>
      </c>
      <c r="J65" s="28"/>
      <c r="K65" s="13">
        <f>SUM(C65:J65)</f>
        <v>35700.17</v>
      </c>
      <c r="L65" s="10">
        <v>4947.5600000000004</v>
      </c>
      <c r="M65" s="10">
        <v>988.07</v>
      </c>
      <c r="N65" s="11">
        <f t="shared" si="25"/>
        <v>13286.259999999998</v>
      </c>
      <c r="O65" s="11">
        <f t="shared" si="1"/>
        <v>19221.89</v>
      </c>
      <c r="P65" s="17">
        <f t="shared" si="2"/>
        <v>16478.28</v>
      </c>
      <c r="Q65" s="22"/>
      <c r="R65" s="46">
        <v>16478.28</v>
      </c>
    </row>
    <row r="66" spans="1:18" ht="15.75" thickBot="1" x14ac:dyDescent="0.3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</row>
    <row r="67" spans="1:18" x14ac:dyDescent="0.25">
      <c r="B67" s="51" t="s">
        <v>81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3"/>
    </row>
    <row r="68" spans="1:18" ht="5.25" customHeight="1" x14ac:dyDescent="0.25">
      <c r="B68" s="68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</row>
    <row r="69" spans="1:18" x14ac:dyDescent="0.25">
      <c r="B69" s="71" t="s">
        <v>65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3"/>
    </row>
    <row r="70" spans="1:18" x14ac:dyDescent="0.25">
      <c r="B70" s="68" t="s">
        <v>63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1:18" x14ac:dyDescent="0.25">
      <c r="B71" s="68" t="s">
        <v>82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1:18" x14ac:dyDescent="0.25">
      <c r="B72" s="68" t="s">
        <v>64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70"/>
    </row>
    <row r="73" spans="1:18" ht="15.75" thickBot="1" x14ac:dyDescent="0.3">
      <c r="B73" s="65" t="s">
        <v>76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7"/>
    </row>
    <row r="74" spans="1:18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1:18" x14ac:dyDescent="0.25">
      <c r="B75" s="6"/>
      <c r="C75" s="5"/>
      <c r="D75" s="5"/>
      <c r="E75" s="5"/>
      <c r="F75" s="5"/>
      <c r="G75" s="5"/>
      <c r="H75" s="5"/>
      <c r="I75" s="5"/>
      <c r="J75" s="5"/>
      <c r="K75" s="39"/>
      <c r="L75" s="5"/>
      <c r="M75" s="5"/>
      <c r="N75" s="5"/>
      <c r="O75" s="39"/>
      <c r="P75" s="5"/>
    </row>
    <row r="76" spans="1:18" x14ac:dyDescent="0.25">
      <c r="B76" s="4"/>
      <c r="C76" s="4"/>
      <c r="D76" s="4"/>
      <c r="E76" s="4"/>
      <c r="F76" s="4"/>
      <c r="G76" s="4"/>
      <c r="H76" s="4"/>
      <c r="I76" s="4"/>
      <c r="J76" s="4"/>
      <c r="K76" s="41"/>
      <c r="L76" s="41"/>
      <c r="M76" s="41"/>
      <c r="N76" s="41"/>
      <c r="O76" s="41"/>
      <c r="P76" s="41"/>
    </row>
    <row r="77" spans="1:18" x14ac:dyDescent="0.25">
      <c r="K77" s="1"/>
      <c r="O77" s="1"/>
      <c r="P77" s="1"/>
    </row>
    <row r="79" spans="1:18" x14ac:dyDescent="0.25">
      <c r="K79" s="1"/>
      <c r="O79" s="1"/>
    </row>
    <row r="80" spans="1:18" x14ac:dyDescent="0.25">
      <c r="K80" s="1"/>
      <c r="L80" s="1"/>
      <c r="M80" s="1"/>
      <c r="N80" s="1"/>
      <c r="P80" s="1"/>
    </row>
  </sheetData>
  <mergeCells count="18">
    <mergeCell ref="B73:P73"/>
    <mergeCell ref="B68:P68"/>
    <mergeCell ref="B69:P69"/>
    <mergeCell ref="B70:P70"/>
    <mergeCell ref="B72:P72"/>
    <mergeCell ref="B71:P71"/>
    <mergeCell ref="B67:P67"/>
    <mergeCell ref="B66:P66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2026-03-26T17:02:52Z</dcterms:modified>
</cp:coreProperties>
</file>