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02 - FOLHA DE PAGAMENTO 2022\FOLHAS DE PAGAMENTO\PORTAL DA TRANSPARÊNCIA\06 - JUNHO\"/>
    </mc:Choice>
  </mc:AlternateContent>
  <xr:revisionPtr revIDLastSave="0" documentId="13_ncr:1_{73E504B9-BE82-4BC9-A6BB-4AC338DA9F2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es" sheetId="6" r:id="rId1"/>
  </sheets>
  <definedNames>
    <definedName name="_xlnm.Print_Area" localSheetId="0">mes!$A$1:$P$67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1" i="6" l="1"/>
  <c r="H58" i="6"/>
  <c r="C58" i="6"/>
  <c r="H57" i="6"/>
  <c r="C57" i="6"/>
  <c r="M56" i="6"/>
  <c r="F56" i="6"/>
  <c r="C56" i="6"/>
  <c r="C55" i="6"/>
  <c r="M54" i="6"/>
  <c r="G54" i="6"/>
  <c r="F54" i="6"/>
  <c r="K54" i="6" s="1"/>
  <c r="H54" i="6"/>
  <c r="C54" i="6"/>
  <c r="M53" i="6"/>
  <c r="F53" i="6"/>
  <c r="H53" i="6"/>
  <c r="C53" i="6"/>
  <c r="C52" i="6"/>
  <c r="H51" i="6"/>
  <c r="C51" i="6"/>
  <c r="H50" i="6"/>
  <c r="C50" i="6"/>
  <c r="M49" i="6"/>
  <c r="F49" i="6"/>
  <c r="G49" i="6"/>
  <c r="H49" i="6"/>
  <c r="C49" i="6"/>
  <c r="H48" i="6"/>
  <c r="C48" i="6"/>
  <c r="H47" i="6"/>
  <c r="C47" i="6"/>
  <c r="C46" i="6"/>
  <c r="C45" i="6"/>
  <c r="M44" i="6"/>
  <c r="L44" i="6"/>
  <c r="F44" i="6"/>
  <c r="H44" i="6"/>
  <c r="C44" i="6"/>
  <c r="M43" i="6"/>
  <c r="L43" i="6"/>
  <c r="F43" i="6"/>
  <c r="H43" i="6"/>
  <c r="C43" i="6"/>
  <c r="H42" i="6"/>
  <c r="C42" i="6"/>
  <c r="C41" i="6"/>
  <c r="C40" i="6"/>
  <c r="H39" i="6"/>
  <c r="C39" i="6"/>
  <c r="M38" i="6"/>
  <c r="F38" i="6"/>
  <c r="H38" i="6"/>
  <c r="C38" i="6"/>
  <c r="C37" i="6"/>
  <c r="C36" i="6"/>
  <c r="C35" i="6"/>
  <c r="M34" i="6"/>
  <c r="L34" i="6"/>
  <c r="F34" i="6"/>
  <c r="C34" i="6"/>
  <c r="C33" i="6"/>
  <c r="H32" i="6"/>
  <c r="C32" i="6"/>
  <c r="H31" i="6"/>
  <c r="C31" i="6"/>
  <c r="C30" i="6"/>
  <c r="L28" i="6"/>
  <c r="F28" i="6"/>
  <c r="H28" i="6"/>
  <c r="C28" i="6"/>
  <c r="M27" i="6"/>
  <c r="L27" i="6"/>
  <c r="F27" i="6"/>
  <c r="H27" i="6"/>
  <c r="C27" i="6"/>
  <c r="H26" i="6"/>
  <c r="C26" i="6"/>
  <c r="H25" i="6"/>
  <c r="C25" i="6"/>
  <c r="C24" i="6"/>
  <c r="C22" i="6"/>
  <c r="C21" i="6"/>
  <c r="H20" i="6"/>
  <c r="C20" i="6"/>
  <c r="H19" i="6"/>
  <c r="C19" i="6"/>
  <c r="H18" i="6"/>
  <c r="C18" i="6"/>
  <c r="H17" i="6"/>
  <c r="C17" i="6"/>
  <c r="C16" i="6"/>
  <c r="C15" i="6"/>
  <c r="D14" i="6"/>
  <c r="C14" i="6"/>
  <c r="H13" i="6"/>
  <c r="C13" i="6"/>
  <c r="H12" i="6"/>
  <c r="C12" i="6"/>
  <c r="M11" i="6"/>
  <c r="G11" i="6"/>
  <c r="F11" i="6"/>
  <c r="H11" i="6"/>
  <c r="C11" i="6"/>
  <c r="C10" i="6"/>
  <c r="D9" i="6"/>
  <c r="H9" i="6"/>
  <c r="C9" i="6"/>
  <c r="K58" i="6" l="1"/>
  <c r="K43" i="6"/>
  <c r="N54" i="6"/>
  <c r="O54" i="6" s="1"/>
  <c r="P54" i="6" s="1"/>
  <c r="K13" i="6"/>
  <c r="K10" i="6"/>
  <c r="N10" i="6" s="1"/>
  <c r="O10" i="6" s="1"/>
  <c r="P10" i="6" s="1"/>
  <c r="N13" i="6" l="1"/>
  <c r="O13" i="6" s="1"/>
  <c r="P13" i="6" s="1"/>
  <c r="K24" i="6"/>
  <c r="N24" i="6" s="1"/>
  <c r="O24" i="6" s="1"/>
  <c r="P24" i="6" s="1"/>
  <c r="K52" i="6" l="1"/>
  <c r="K45" i="6"/>
  <c r="K44" i="6"/>
  <c r="K42" i="6"/>
  <c r="K35" i="6"/>
  <c r="K46" i="6"/>
  <c r="K48" i="6"/>
  <c r="K49" i="6"/>
  <c r="K50" i="6"/>
  <c r="K51" i="6"/>
  <c r="K53" i="6"/>
  <c r="K55" i="6"/>
  <c r="K56" i="6"/>
  <c r="K57" i="6"/>
  <c r="K41" i="6"/>
  <c r="K40" i="6"/>
  <c r="K31" i="6"/>
  <c r="K32" i="6"/>
  <c r="K33" i="6"/>
  <c r="K34" i="6"/>
  <c r="K36" i="6"/>
  <c r="K37" i="6"/>
  <c r="K38" i="6"/>
  <c r="K39" i="6"/>
  <c r="K8" i="6"/>
  <c r="K9" i="6"/>
  <c r="K11" i="6"/>
  <c r="K12" i="6"/>
  <c r="K15" i="6"/>
  <c r="K16" i="6"/>
  <c r="K17" i="6"/>
  <c r="K18" i="6"/>
  <c r="K19" i="6"/>
  <c r="K20" i="6"/>
  <c r="K21" i="6"/>
  <c r="K22" i="6"/>
  <c r="K23" i="6"/>
  <c r="K25" i="6"/>
  <c r="K26" i="6"/>
  <c r="K27" i="6"/>
  <c r="K28" i="6"/>
  <c r="K29" i="6"/>
  <c r="K30" i="6"/>
  <c r="K7" i="6"/>
  <c r="K47" i="6" l="1"/>
  <c r="K14" i="6"/>
  <c r="N57" i="6" l="1"/>
  <c r="O57" i="6" s="1"/>
  <c r="P57" i="6" s="1"/>
  <c r="N18" i="6" l="1"/>
  <c r="O18" i="6" s="1"/>
  <c r="P18" i="6" s="1"/>
  <c r="N32" i="6" l="1"/>
  <c r="O32" i="6" s="1"/>
  <c r="P32" i="6" s="1"/>
  <c r="N9" i="6" l="1"/>
  <c r="O9" i="6" s="1"/>
  <c r="P9" i="6" s="1"/>
  <c r="N38" i="6" l="1"/>
  <c r="O38" i="6" s="1"/>
  <c r="P38" i="6" s="1"/>
  <c r="N51" i="6" l="1"/>
  <c r="O51" i="6" s="1"/>
  <c r="P51" i="6" s="1"/>
  <c r="N25" i="6"/>
  <c r="O25" i="6" s="1"/>
  <c r="P25" i="6" s="1"/>
  <c r="N15" i="6" l="1"/>
  <c r="O15" i="6" s="1"/>
  <c r="P15" i="6" s="1"/>
  <c r="N12" i="6" l="1"/>
  <c r="O12" i="6" s="1"/>
  <c r="P12" i="6" s="1"/>
  <c r="N58" i="6"/>
  <c r="O58" i="6" s="1"/>
  <c r="P58" i="6" s="1"/>
  <c r="N53" i="6"/>
  <c r="O53" i="6" s="1"/>
  <c r="N50" i="6"/>
  <c r="O50" i="6" s="1"/>
  <c r="P50" i="6" s="1"/>
  <c r="N49" i="6"/>
  <c r="O49" i="6" s="1"/>
  <c r="P49" i="6" s="1"/>
  <c r="N48" i="6"/>
  <c r="O48" i="6" s="1"/>
  <c r="N45" i="6"/>
  <c r="O45" i="6" s="1"/>
  <c r="N44" i="6"/>
  <c r="O44" i="6" s="1"/>
  <c r="N43" i="6"/>
  <c r="O43" i="6" s="1"/>
  <c r="P43" i="6" s="1"/>
  <c r="N40" i="6"/>
  <c r="O40" i="6" s="1"/>
  <c r="P40" i="6" s="1"/>
  <c r="N36" i="6"/>
  <c r="O36" i="6" s="1"/>
  <c r="P36" i="6" s="1"/>
  <c r="N35" i="6"/>
  <c r="O35" i="6" s="1"/>
  <c r="P35" i="6" s="1"/>
  <c r="N34" i="6"/>
  <c r="O34" i="6" s="1"/>
  <c r="P34" i="6" s="1"/>
  <c r="N31" i="6"/>
  <c r="O31" i="6" s="1"/>
  <c r="P31" i="6" s="1"/>
  <c r="N30" i="6"/>
  <c r="O30" i="6" s="1"/>
  <c r="P30" i="6" s="1"/>
  <c r="N29" i="6"/>
  <c r="O29" i="6" s="1"/>
  <c r="P29" i="6" s="1"/>
  <c r="N28" i="6"/>
  <c r="O28" i="6" s="1"/>
  <c r="P28" i="6" s="1"/>
  <c r="N26" i="6"/>
  <c r="O26" i="6" s="1"/>
  <c r="P26" i="6" s="1"/>
  <c r="N23" i="6"/>
  <c r="O23" i="6" s="1"/>
  <c r="P23" i="6" s="1"/>
  <c r="N22" i="6"/>
  <c r="O22" i="6" s="1"/>
  <c r="P22" i="6" s="1"/>
  <c r="N21" i="6"/>
  <c r="O21" i="6" s="1"/>
  <c r="P21" i="6" s="1"/>
  <c r="N19" i="6"/>
  <c r="O19" i="6" s="1"/>
  <c r="P19" i="6" s="1"/>
  <c r="N7" i="6"/>
  <c r="O7" i="6" s="1"/>
  <c r="P7" i="6" s="1"/>
  <c r="N42" i="6" l="1"/>
  <c r="O42" i="6" s="1"/>
  <c r="P42" i="6" s="1"/>
  <c r="N8" i="6"/>
  <c r="N56" i="6"/>
  <c r="O56" i="6" s="1"/>
  <c r="P56" i="6" s="1"/>
  <c r="N16" i="6"/>
  <c r="O16" i="6" s="1"/>
  <c r="P16" i="6" s="1"/>
  <c r="N52" i="6"/>
  <c r="O52" i="6" s="1"/>
  <c r="P52" i="6" s="1"/>
  <c r="N46" i="6"/>
  <c r="O46" i="6" s="1"/>
  <c r="P46" i="6" s="1"/>
  <c r="N47" i="6"/>
  <c r="O47" i="6" s="1"/>
  <c r="P47" i="6" s="1"/>
  <c r="N55" i="6"/>
  <c r="O55" i="6" s="1"/>
  <c r="P55" i="6" s="1"/>
  <c r="N11" i="6"/>
  <c r="O11" i="6" s="1"/>
  <c r="P11" i="6" s="1"/>
  <c r="N33" i="6"/>
  <c r="O33" i="6" s="1"/>
  <c r="P33" i="6" s="1"/>
  <c r="N27" i="6"/>
  <c r="O27" i="6" s="1"/>
  <c r="P27" i="6" s="1"/>
  <c r="N37" i="6"/>
  <c r="O37" i="6" s="1"/>
  <c r="P37" i="6" s="1"/>
  <c r="N41" i="6"/>
  <c r="O41" i="6" s="1"/>
  <c r="P41" i="6" s="1"/>
  <c r="N20" i="6"/>
  <c r="O20" i="6" s="1"/>
  <c r="P20" i="6" s="1"/>
  <c r="N17" i="6"/>
  <c r="O17" i="6" s="1"/>
  <c r="P17" i="6" s="1"/>
  <c r="N14" i="6"/>
  <c r="O14" i="6" s="1"/>
  <c r="P14" i="6" s="1"/>
  <c r="P45" i="6"/>
  <c r="P44" i="6"/>
  <c r="P48" i="6"/>
  <c r="N39" i="6"/>
  <c r="O39" i="6" s="1"/>
  <c r="P39" i="6" s="1"/>
  <c r="P53" i="6"/>
  <c r="O8" i="6" l="1"/>
  <c r="P8" i="6" l="1"/>
</calcChain>
</file>

<file path=xl/sharedStrings.xml><?xml version="1.0" encoding="utf-8"?>
<sst xmlns="http://schemas.openxmlformats.org/spreadsheetml/2006/main" count="85" uniqueCount="83">
  <si>
    <t>ADRIANA IAIZZO MAGALHAES</t>
  </si>
  <si>
    <t>ALBERTO AUGUSTO SPITZ</t>
  </si>
  <si>
    <t>ATILA COLONIA CUNNINGHAM</t>
  </si>
  <si>
    <t>BERNADETE DOS SANTOS GONCALVES</t>
  </si>
  <si>
    <t>CELITA ZAIDOVICZ PALTANIN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</si>
  <si>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</si>
  <si>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</si>
  <si>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</si>
  <si>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</si>
  <si>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</si>
  <si>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</si>
  <si>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</si>
  <si>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</si>
  <si>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</si>
  <si>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</si>
  <si>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</si>
  <si>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</si>
  <si>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</si>
  <si>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LAURA POTIRA MOREIRA DE SOUZA</t>
  </si>
  <si>
    <t>LUCIANA CRISTINA CORRER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</si>
  <si>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</si>
  <si>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</si>
  <si>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</si>
  <si>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</si>
  <si>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</si>
  <si>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</si>
  <si>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</si>
  <si>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</si>
  <si>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</si>
  <si>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</si>
  <si>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</si>
  <si>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</si>
  <si>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RAFAEL MARCOS AMARAL</t>
  </si>
  <si>
    <t>ROGERS SILVA GARCEZ DAS NEVES</t>
  </si>
  <si>
    <t>RONALDO VELOSO DE ALCANTARA</t>
  </si>
  <si>
    <t>ROSANA APARECIDA SILVA CARDOSO</t>
  </si>
  <si>
    <t>VALDAIR DE SOUZA</t>
  </si>
  <si>
    <t>VALMIR CORREA DOS SANTOS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</si>
  <si>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</si>
  <si>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</si>
  <si>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</si>
  <si>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</si>
  <si>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</si>
  <si>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</si>
  <si>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</si>
  <si>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</si>
  <si>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</si>
  <si>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</si>
  <si>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</si>
  <si>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</si>
  <si>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</si>
  <si>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</si>
  <si>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 xml:space="preserve">Honorário de </t>
  </si>
  <si>
    <t>Sucumbência</t>
  </si>
  <si>
    <t>13º Salário</t>
  </si>
  <si>
    <t>HELENA YURIKO HASEGAWA TORQUATO</t>
  </si>
  <si>
    <t>RONALD AURELIO KOCHOLIK</t>
  </si>
  <si>
    <t>MARCIA PORDEUS TORRES</t>
  </si>
  <si>
    <t>ALISSON BOBATO DALSANTO</t>
  </si>
  <si>
    <t>KARIN OLIVEIRA SILVA</t>
  </si>
  <si>
    <t>MAIRÊ APARECIDA DAHLEM</t>
  </si>
  <si>
    <t>ERYKA RENATA FERREIRA DE MELLO SENFF MAIA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</si>
  <si>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</si>
  <si>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</si>
  <si>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</si>
  <si>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</si>
  <si>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</si>
  <si>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</si>
  <si>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</si>
  <si>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</si>
  <si>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</si>
  <si>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</si>
  <si>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GUSTAVO ELIAS MUENZ</t>
  </si>
  <si>
    <t>Indenização</t>
  </si>
  <si>
    <t>PDV</t>
  </si>
  <si>
    <t>CARLOS ALBERTO JUNGLES DE CAMARGO</t>
  </si>
  <si>
    <t>SARA EMMANUELLE MARTINS SCARPETTA</t>
  </si>
  <si>
    <t>ANA PAULA ANBIEL GAIGNER</t>
  </si>
  <si>
    <t>recebidos por 22 dias mensais, descontando do funcionário o percentual de 0,50% (meio por cento) sobre o valor total dos vales fornecidos no período.</t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</si>
  <si>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transporte, pensão alimentícia, entre outros.</t>
    </r>
  </si>
  <si>
    <t>IRAN LUIZ CORDEIRO</t>
  </si>
  <si>
    <t>JUNHO/2022</t>
  </si>
  <si>
    <t>A concessão do vale alimentação e/ou vale refeição aos funcionários do CRCPR é realizada por meio de cartão magnético. O benefício é disponibilizado mensalmente no valor de R$ 55,55 (cinquenta e cinco reais e cinquenta e cinco centavos)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</si>
</sst>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81">
    <xf numFmtId="0" fontId="0" fillId="0" borderId="0" xfId="0"/>
    <xf numFmtId="164" fontId="0" fillId="0" borderId="0" xfId="0" applyNumberFormat="1"/>
    <xf numFmtId="164" fontId="0" fillId="0" borderId="3" xfId="0" applyNumberFormat="1" applyFill="1" applyBorder="1"/>
    <xf numFmtId="164" fontId="0" fillId="0" borderId="3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9" fillId="0" borderId="2" xfId="0" applyFont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15" xfId="0" applyNumberFormat="1" applyFill="1" applyBorder="1" applyProtection="1">
      <protection locked="0"/>
    </xf>
    <xf numFmtId="164" fontId="0" fillId="0" borderId="15" xfId="0" applyNumberFormat="1" applyFill="1" applyBorder="1"/>
    <xf numFmtId="164" fontId="1" fillId="4" borderId="4" xfId="0" applyNumberFormat="1" applyFont="1" applyFill="1" applyBorder="1"/>
    <xf numFmtId="164" fontId="1" fillId="4" borderId="5" xfId="0" applyNumberFormat="1" applyFont="1" applyFill="1" applyBorder="1"/>
    <xf numFmtId="164" fontId="1" fillId="4" borderId="4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>
      <protection locked="0"/>
    </xf>
    <xf numFmtId="0" fontId="0" fillId="0" borderId="17" xfId="0" applyBorder="1"/>
    <xf numFmtId="0" fontId="0" fillId="0" borderId="18" xfId="0" applyBorder="1"/>
    <xf numFmtId="164" fontId="1" fillId="2" borderId="20" xfId="0" applyNumberFormat="1" applyFont="1" applyFill="1" applyBorder="1"/>
    <xf numFmtId="164" fontId="1" fillId="2" borderId="21" xfId="0" applyNumberFormat="1" applyFont="1" applyFill="1" applyBorder="1"/>
    <xf numFmtId="0" fontId="1" fillId="3" borderId="16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6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24" xfId="0" applyNumberFormat="1" applyFont="1" applyFill="1" applyBorder="1" applyProtection="1">
      <protection locked="0"/>
    </xf>
    <xf numFmtId="164" fontId="1" fillId="0" borderId="15" xfId="0" applyNumberFormat="1" applyFont="1" applyFill="1" applyBorder="1" applyProtection="1"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15" xfId="0" applyNumberFormat="1" applyFont="1" applyBorder="1" applyProtection="1">
      <protection locked="0"/>
    </xf>
    <xf numFmtId="164" fontId="1" fillId="0" borderId="15" xfId="0" applyNumberFormat="1" applyFont="1" applyBorder="1" applyAlignment="1" applyProtection="1">
      <alignment horizontal="right"/>
      <protection locked="0"/>
    </xf>
    <xf numFmtId="49" fontId="8" fillId="2" borderId="8" xfId="0" applyNumberFormat="1" applyFont="1" applyFill="1" applyBorder="1" applyAlignment="1"/>
    <xf numFmtId="164" fontId="1" fillId="0" borderId="24" xfId="0" applyNumberFormat="1" applyFont="1" applyBorder="1" applyAlignment="1" applyProtection="1">
      <alignment horizontal="center"/>
      <protection locked="0"/>
    </xf>
    <xf numFmtId="0" fontId="0" fillId="0" borderId="25" xfId="0" applyBorder="1"/>
    <xf numFmtId="164" fontId="1" fillId="4" borderId="26" xfId="0" applyNumberFormat="1" applyFont="1" applyFill="1" applyBorder="1" applyProtection="1">
      <protection locked="0"/>
    </xf>
    <xf numFmtId="164" fontId="1" fillId="0" borderId="24" xfId="0" applyNumberFormat="1" applyFont="1" applyBorder="1" applyProtection="1">
      <protection locked="0"/>
    </xf>
    <xf numFmtId="164" fontId="1" fillId="4" borderId="26" xfId="0" applyNumberFormat="1" applyFont="1" applyFill="1" applyBorder="1"/>
    <xf numFmtId="164" fontId="0" fillId="0" borderId="24" xfId="0" applyNumberFormat="1" applyFill="1" applyBorder="1" applyProtection="1">
      <protection locked="0"/>
    </xf>
    <xf numFmtId="164" fontId="0" fillId="0" borderId="24" xfId="0" applyNumberFormat="1" applyFill="1" applyBorder="1"/>
    <xf numFmtId="164" fontId="1" fillId="2" borderId="27" xfId="0" applyNumberFormat="1" applyFont="1" applyFill="1" applyBorder="1"/>
    <xf numFmtId="0" fontId="1" fillId="3" borderId="16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vertical="center"/>
    </xf>
    <xf numFmtId="49" fontId="1" fillId="3" borderId="22" xfId="0" applyNumberFormat="1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vertical="center"/>
    </xf>
    <xf numFmtId="0" fontId="1" fillId="0" borderId="0" xfId="0" applyFont="1" applyProtection="1">
      <protection locked="0"/>
    </xf>
    <xf numFmtId="0" fontId="0" fillId="0" borderId="0" xfId="0" applyAlignment="1">
      <alignment horizontal="center"/>
    </xf>
    <xf numFmtId="164" fontId="2" fillId="0" borderId="0" xfId="0" applyNumberFormat="1" applyFont="1" applyAlignment="1" applyProtection="1">
      <alignment horizontal="left"/>
      <protection locked="0"/>
    </xf>
    <xf numFmtId="0" fontId="4" fillId="4" borderId="9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0" fontId="4" fillId="4" borderId="10" xfId="0" applyFont="1" applyFill="1" applyBorder="1" applyAlignment="1" applyProtection="1">
      <alignment horizontal="left"/>
      <protection locked="0"/>
    </xf>
    <xf numFmtId="0" fontId="0" fillId="0" borderId="0" xfId="0" applyBorder="1" applyAlignment="1">
      <alignment horizontal="center"/>
    </xf>
    <xf numFmtId="0" fontId="4" fillId="4" borderId="11" xfId="0" applyFont="1" applyFill="1" applyBorder="1" applyAlignment="1" applyProtection="1">
      <alignment horizontal="left"/>
      <protection locked="0"/>
    </xf>
    <xf numFmtId="0" fontId="4" fillId="4" borderId="0" xfId="0" applyFont="1" applyFill="1" applyBorder="1" applyAlignment="1" applyProtection="1">
      <alignment horizontal="left"/>
      <protection locked="0"/>
    </xf>
    <xf numFmtId="0" fontId="4" fillId="4" borderId="12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3" borderId="9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13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4" xfId="0" applyFont="1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2" xfId="0" applyFill="1" applyBorder="1" applyAlignment="1" applyProtection="1">
      <alignment horizontal="left"/>
      <protection locked="0"/>
    </xf>
    <xf numFmtId="0" fontId="12" fillId="4" borderId="11" xfId="0" applyFont="1" applyFill="1" applyBorder="1" applyAlignment="1" applyProtection="1">
      <alignment horizontal="left"/>
      <protection locked="0"/>
    </xf>
    <xf numFmtId="0" fontId="12" fillId="4" borderId="0" xfId="0" applyFont="1" applyFill="1" applyBorder="1" applyAlignment="1" applyProtection="1">
      <alignment horizontal="left"/>
      <protection locked="0"/>
    </xf>
    <xf numFmtId="0" fontId="12" fillId="4" borderId="12" xfId="0" applyFont="1" applyFill="1" applyBorder="1" applyAlignment="1" applyProtection="1">
      <alignment horizontal="left"/>
      <protection locked="0"/>
    </xf>
    <xf numFmtId="0" fontId="0" fillId="4" borderId="11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2" xfId="0" applyFont="1" applyFill="1" applyBorder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3"/>
  <sheetViews>
    <sheetView tabSelected="1" zoomScaleNormal="100" workbookViewId="0">
      <pane xSplit="2" ySplit="6" topLeftCell="C31" activePane="bottomRight" state="frozen"/>
      <selection pane="topRight" activeCell="B1" sqref="B1"/>
      <selection pane="bottomLeft" activeCell="A7" sqref="A7"/>
      <selection pane="bottomRight" activeCell="B53" sqref="B53"/>
    </sheetView>
  </sheetViews>
  <sheetFormatPr defaultRowHeight="15" outlineLevelCol="1" x14ac:dyDescent="0.25"/>
  <cols>
    <col min="1" max="1" width="3.7109375" customWidth="1"/>
    <col min="2" max="2" width="44.140625" bestFit="1" customWidth="1"/>
    <col min="3" max="3" width="13.28515625" bestFit="1" customWidth="1"/>
    <col min="4" max="4" width="12.5703125" bestFit="1" customWidth="1"/>
    <col min="5" max="5" width="8.140625" bestFit="1" customWidth="1"/>
    <col min="6" max="6" width="11" bestFit="1" customWidth="1"/>
    <col min="7" max="7" width="16.85546875" bestFit="1" customWidth="1"/>
    <col min="8" max="8" width="13.5703125" customWidth="1"/>
    <col min="9" max="9" width="13.140625" bestFit="1" customWidth="1"/>
    <col min="10" max="10" width="11.5703125" bestFit="1" customWidth="1"/>
    <col min="11" max="11" width="12.85546875" bestFit="1" customWidth="1"/>
    <col min="12" max="12" width="10.7109375" bestFit="1" customWidth="1"/>
    <col min="13" max="13" width="10.7109375" customWidth="1"/>
    <col min="14" max="14" width="10.140625" bestFit="1" customWidth="1"/>
    <col min="15" max="15" width="10.5703125" bestFit="1" customWidth="1"/>
    <col min="16" max="16" width="9.5703125" bestFit="1" customWidth="1"/>
    <col min="17" max="17" width="1.42578125" customWidth="1"/>
    <col min="18" max="18" width="15.85546875" hidden="1" customWidth="1" outlineLevel="1"/>
    <col min="19" max="19" width="9.140625" collapsed="1"/>
  </cols>
  <sheetData>
    <row r="1" spans="1:19" ht="16.5" x14ac:dyDescent="0.25">
      <c r="B1" s="59" t="s">
        <v>50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9" ht="16.5" x14ac:dyDescent="0.25">
      <c r="B2" s="59" t="s">
        <v>51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</row>
    <row r="3" spans="1:19" ht="4.5" customHeight="1" thickBot="1" x14ac:dyDescent="0.3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spans="1:19" ht="19.5" thickBot="1" x14ac:dyDescent="0.35">
      <c r="B4" s="36" t="s">
        <v>81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9" x14ac:dyDescent="0.25">
      <c r="B5" s="61" t="s">
        <v>49</v>
      </c>
      <c r="C5" s="63" t="s">
        <v>39</v>
      </c>
      <c r="D5" s="67" t="s">
        <v>63</v>
      </c>
      <c r="E5" s="63" t="s">
        <v>40</v>
      </c>
      <c r="F5" s="63" t="s">
        <v>64</v>
      </c>
      <c r="G5" s="45" t="s">
        <v>65</v>
      </c>
      <c r="H5" s="46" t="s">
        <v>67</v>
      </c>
      <c r="I5" s="20" t="s">
        <v>52</v>
      </c>
      <c r="J5" s="8" t="s">
        <v>73</v>
      </c>
      <c r="K5" s="20" t="s">
        <v>41</v>
      </c>
      <c r="L5" s="65" t="s">
        <v>43</v>
      </c>
      <c r="M5" s="63" t="s">
        <v>44</v>
      </c>
      <c r="N5" s="20" t="s">
        <v>45</v>
      </c>
      <c r="O5" s="8" t="s">
        <v>47</v>
      </c>
      <c r="P5" s="22" t="s">
        <v>41</v>
      </c>
    </row>
    <row r="6" spans="1:19" ht="15.75" thickBot="1" x14ac:dyDescent="0.3">
      <c r="B6" s="62"/>
      <c r="C6" s="64"/>
      <c r="D6" s="68"/>
      <c r="E6" s="64"/>
      <c r="F6" s="64"/>
      <c r="G6" s="47" t="s">
        <v>66</v>
      </c>
      <c r="H6" s="48" t="s">
        <v>54</v>
      </c>
      <c r="I6" s="21" t="s">
        <v>53</v>
      </c>
      <c r="J6" s="9" t="s">
        <v>74</v>
      </c>
      <c r="K6" s="21" t="s">
        <v>42</v>
      </c>
      <c r="L6" s="66"/>
      <c r="M6" s="64"/>
      <c r="N6" s="21" t="s">
        <v>46</v>
      </c>
      <c r="O6" s="9" t="s">
        <v>46</v>
      </c>
      <c r="P6" s="23" t="s">
        <v>48</v>
      </c>
    </row>
    <row r="7" spans="1:19" x14ac:dyDescent="0.25">
      <c r="A7" s="50">
        <v>1</v>
      </c>
      <c r="B7" s="16" t="s">
        <v>0</v>
      </c>
      <c r="C7" s="14">
        <v>6363.54</v>
      </c>
      <c r="D7" s="28"/>
      <c r="E7" s="31"/>
      <c r="F7" s="31"/>
      <c r="G7" s="31"/>
      <c r="H7" s="31"/>
      <c r="I7" s="32"/>
      <c r="J7" s="32"/>
      <c r="K7" s="12">
        <f t="shared" ref="K7:K14" si="0">SUM(C7:I7)</f>
        <v>6363.54</v>
      </c>
      <c r="L7" s="3">
        <v>680.67</v>
      </c>
      <c r="M7" s="3">
        <v>727.07</v>
      </c>
      <c r="N7" s="2">
        <f t="shared" ref="N7:N13" si="1">K7-L7-M7-R7</f>
        <v>102.80000000000018</v>
      </c>
      <c r="O7" s="2">
        <f t="shared" ref="O7:O58" si="2">SUM(L7:N7)</f>
        <v>1510.5400000000002</v>
      </c>
      <c r="P7" s="18">
        <f t="shared" ref="P7:P58" si="3">SUM(K7-O7)</f>
        <v>4853</v>
      </c>
      <c r="Q7" s="24"/>
      <c r="R7" s="25">
        <v>4853</v>
      </c>
    </row>
    <row r="8" spans="1:19" x14ac:dyDescent="0.25">
      <c r="A8" s="50">
        <v>2</v>
      </c>
      <c r="B8" s="16" t="s">
        <v>1</v>
      </c>
      <c r="C8" s="14">
        <v>3053.24</v>
      </c>
      <c r="D8" s="28"/>
      <c r="E8" s="31"/>
      <c r="F8" s="31"/>
      <c r="G8" s="31"/>
      <c r="H8" s="31"/>
      <c r="I8" s="32"/>
      <c r="J8" s="32"/>
      <c r="K8" s="12">
        <f t="shared" si="0"/>
        <v>3053.24</v>
      </c>
      <c r="L8" s="3">
        <v>51.32</v>
      </c>
      <c r="M8" s="3">
        <v>275.38</v>
      </c>
      <c r="N8" s="2">
        <f t="shared" si="1"/>
        <v>1376.0599999999995</v>
      </c>
      <c r="O8" s="2">
        <f t="shared" si="2"/>
        <v>1702.7599999999995</v>
      </c>
      <c r="P8" s="18">
        <f t="shared" si="3"/>
        <v>1350.4800000000002</v>
      </c>
      <c r="Q8" s="24"/>
      <c r="R8" s="25">
        <v>1350.48</v>
      </c>
    </row>
    <row r="9" spans="1:19" x14ac:dyDescent="0.25">
      <c r="A9" s="50">
        <v>3</v>
      </c>
      <c r="B9" s="16" t="s">
        <v>58</v>
      </c>
      <c r="C9" s="14">
        <f>2271.26+149.59</f>
        <v>2420.8500000000004</v>
      </c>
      <c r="D9" s="28">
        <f>1468.47+176.24</f>
        <v>1644.71</v>
      </c>
      <c r="E9" s="31"/>
      <c r="F9" s="31"/>
      <c r="G9" s="31"/>
      <c r="H9" s="31">
        <f>1135.63+74.79+734.23</f>
        <v>1944.65</v>
      </c>
      <c r="I9" s="32"/>
      <c r="J9" s="32"/>
      <c r="K9" s="12">
        <f t="shared" si="0"/>
        <v>6010.2100000000009</v>
      </c>
      <c r="L9" s="3">
        <v>194.23</v>
      </c>
      <c r="M9" s="3">
        <v>405.35</v>
      </c>
      <c r="N9" s="2">
        <f t="shared" si="1"/>
        <v>134.14000000000124</v>
      </c>
      <c r="O9" s="2">
        <f t="shared" si="2"/>
        <v>733.72000000000128</v>
      </c>
      <c r="P9" s="18">
        <f t="shared" si="3"/>
        <v>5276.49</v>
      </c>
      <c r="Q9" s="24"/>
      <c r="R9" s="25">
        <v>5276.49</v>
      </c>
    </row>
    <row r="10" spans="1:19" x14ac:dyDescent="0.25">
      <c r="A10" s="50">
        <v>4</v>
      </c>
      <c r="B10" s="16" t="s">
        <v>77</v>
      </c>
      <c r="C10" s="14">
        <f>4659.14+55.91</f>
        <v>4715.05</v>
      </c>
      <c r="D10" s="28">
        <v>931.83</v>
      </c>
      <c r="E10" s="31"/>
      <c r="F10" s="31"/>
      <c r="G10" s="31"/>
      <c r="H10" s="31"/>
      <c r="I10" s="32"/>
      <c r="J10" s="32"/>
      <c r="K10" s="12">
        <f t="shared" ref="K10" si="4">SUM(C10:I10)</f>
        <v>5646.88</v>
      </c>
      <c r="L10" s="3">
        <v>511.18</v>
      </c>
      <c r="M10" s="3">
        <v>626.73</v>
      </c>
      <c r="N10" s="2">
        <f t="shared" ref="N10" si="5">K10-L10-M10-R10</f>
        <v>89.919999999999163</v>
      </c>
      <c r="O10" s="2">
        <f t="shared" ref="O10" si="6">SUM(L10:N10)</f>
        <v>1227.8299999999992</v>
      </c>
      <c r="P10" s="18">
        <f t="shared" ref="P10" si="7">SUM(K10-O10)</f>
        <v>4419.0500000000011</v>
      </c>
      <c r="Q10" s="24"/>
      <c r="R10" s="25">
        <v>4419.05</v>
      </c>
    </row>
    <row r="11" spans="1:19" x14ac:dyDescent="0.25">
      <c r="A11" s="50">
        <v>5</v>
      </c>
      <c r="B11" s="16" t="s">
        <v>2</v>
      </c>
      <c r="C11" s="14">
        <f>1850.89+240.62</f>
        <v>2091.5100000000002</v>
      </c>
      <c r="D11" s="28"/>
      <c r="E11" s="31"/>
      <c r="F11" s="31">
        <f>961.52+125+362.17</f>
        <v>1448.69</v>
      </c>
      <c r="G11" s="31">
        <f>874.11+113.63+329.25</f>
        <v>1316.99</v>
      </c>
      <c r="H11" s="31">
        <f>1461.23+189.96</f>
        <v>1651.19</v>
      </c>
      <c r="I11" s="32"/>
      <c r="J11" s="32"/>
      <c r="K11" s="12">
        <f t="shared" si="0"/>
        <v>6508.380000000001</v>
      </c>
      <c r="L11" s="3"/>
      <c r="M11" s="3">
        <f>210.03+123.79</f>
        <v>333.82</v>
      </c>
      <c r="N11" s="2">
        <f t="shared" si="1"/>
        <v>3061.6800000000012</v>
      </c>
      <c r="O11" s="2">
        <f t="shared" si="2"/>
        <v>3395.5000000000014</v>
      </c>
      <c r="P11" s="18">
        <f>SUM(K11-O11)+H11</f>
        <v>4764.07</v>
      </c>
      <c r="Q11" s="24"/>
      <c r="R11" s="25">
        <v>3112.88</v>
      </c>
      <c r="S11" s="1"/>
    </row>
    <row r="12" spans="1:19" x14ac:dyDescent="0.25">
      <c r="A12" s="50">
        <v>6</v>
      </c>
      <c r="B12" s="16" t="s">
        <v>3</v>
      </c>
      <c r="C12" s="14">
        <f>3495.94+873.99</f>
        <v>4369.93</v>
      </c>
      <c r="D12" s="28"/>
      <c r="E12" s="31"/>
      <c r="F12" s="31"/>
      <c r="G12" s="31"/>
      <c r="H12" s="31">
        <f>1747.97+436.99</f>
        <v>2184.96</v>
      </c>
      <c r="I12" s="32"/>
      <c r="J12" s="32"/>
      <c r="K12" s="12">
        <f t="shared" si="0"/>
        <v>6554.89</v>
      </c>
      <c r="L12" s="3">
        <v>246.31</v>
      </c>
      <c r="M12" s="3">
        <v>447.96</v>
      </c>
      <c r="N12" s="2">
        <f t="shared" si="1"/>
        <v>1212.7600000000002</v>
      </c>
      <c r="O12" s="2">
        <f t="shared" si="2"/>
        <v>1907.0300000000002</v>
      </c>
      <c r="P12" s="18">
        <f t="shared" si="3"/>
        <v>4647.8600000000006</v>
      </c>
      <c r="Q12" s="24"/>
      <c r="R12" s="25">
        <v>4647.8599999999997</v>
      </c>
    </row>
    <row r="13" spans="1:19" x14ac:dyDescent="0.25">
      <c r="A13" s="50">
        <v>7</v>
      </c>
      <c r="B13" s="16" t="s">
        <v>75</v>
      </c>
      <c r="C13" s="14">
        <f>4659.14+55.91</f>
        <v>4715.05</v>
      </c>
      <c r="D13" s="28">
        <v>931.83</v>
      </c>
      <c r="E13" s="31"/>
      <c r="F13" s="31"/>
      <c r="G13" s="31"/>
      <c r="H13" s="31">
        <f>2329.57+27.95+465.91</f>
        <v>2823.43</v>
      </c>
      <c r="I13" s="32"/>
      <c r="J13" s="32"/>
      <c r="K13" s="12">
        <f t="shared" si="0"/>
        <v>8470.31</v>
      </c>
      <c r="L13" s="3">
        <v>511.18</v>
      </c>
      <c r="M13" s="3">
        <v>626.73</v>
      </c>
      <c r="N13" s="2">
        <f t="shared" si="1"/>
        <v>54.979999999999563</v>
      </c>
      <c r="O13" s="2">
        <f t="shared" si="2"/>
        <v>1192.8899999999996</v>
      </c>
      <c r="P13" s="18">
        <f t="shared" si="3"/>
        <v>7277.42</v>
      </c>
      <c r="Q13" s="24"/>
      <c r="R13" s="25">
        <v>7277.42</v>
      </c>
    </row>
    <row r="14" spans="1:19" x14ac:dyDescent="0.25">
      <c r="A14" s="50">
        <v>8</v>
      </c>
      <c r="B14" s="16" t="s">
        <v>4</v>
      </c>
      <c r="C14" s="14">
        <f>13962.05+7330.08</f>
        <v>21292.129999999997</v>
      </c>
      <c r="D14" s="28">
        <f>1396.21+176.24+5584.82</f>
        <v>7157.2699999999995</v>
      </c>
      <c r="E14" s="31"/>
      <c r="F14" s="31"/>
      <c r="G14" s="31"/>
      <c r="H14" s="31"/>
      <c r="I14" s="32"/>
      <c r="J14" s="32"/>
      <c r="K14" s="12">
        <f t="shared" si="0"/>
        <v>28449.399999999998</v>
      </c>
      <c r="L14" s="3">
        <v>6726.42</v>
      </c>
      <c r="M14" s="3">
        <v>828.38</v>
      </c>
      <c r="N14" s="2">
        <f>K14-L14-M14-R14</f>
        <v>338.59999999999491</v>
      </c>
      <c r="O14" s="2">
        <f t="shared" si="2"/>
        <v>7893.3999999999951</v>
      </c>
      <c r="P14" s="18">
        <f t="shared" si="3"/>
        <v>20556.000000000004</v>
      </c>
      <c r="Q14" s="24"/>
      <c r="R14" s="25">
        <v>20556</v>
      </c>
    </row>
    <row r="15" spans="1:19" x14ac:dyDescent="0.25">
      <c r="A15" s="50">
        <v>9</v>
      </c>
      <c r="B15" s="16" t="s">
        <v>5</v>
      </c>
      <c r="C15" s="14">
        <f>13962.05+4495.78</f>
        <v>18457.829999999998</v>
      </c>
      <c r="D15" s="28">
        <v>5584.82</v>
      </c>
      <c r="E15" s="31"/>
      <c r="F15" s="31"/>
      <c r="G15" s="31"/>
      <c r="H15" s="31"/>
      <c r="I15" s="32"/>
      <c r="J15" s="32"/>
      <c r="K15" s="12">
        <f t="shared" ref="K15:K31" si="8">SUM(C15:I15)</f>
        <v>24042.649999999998</v>
      </c>
      <c r="L15" s="3">
        <v>5514.56</v>
      </c>
      <c r="M15" s="3">
        <v>828.38</v>
      </c>
      <c r="N15" s="2">
        <f t="shared" ref="N15:N40" si="9">K15-L15-M15-R15</f>
        <v>109.43999999999505</v>
      </c>
      <c r="O15" s="2">
        <f t="shared" si="2"/>
        <v>6452.3799999999956</v>
      </c>
      <c r="P15" s="18">
        <f t="shared" si="3"/>
        <v>17590.270000000004</v>
      </c>
      <c r="Q15" s="24"/>
      <c r="R15" s="25">
        <v>17590.27</v>
      </c>
    </row>
    <row r="16" spans="1:19" x14ac:dyDescent="0.25">
      <c r="A16" s="50">
        <v>10</v>
      </c>
      <c r="B16" s="16" t="s">
        <v>6</v>
      </c>
      <c r="C16" s="14">
        <f>2771.37+249.42</f>
        <v>3020.79</v>
      </c>
      <c r="D16" s="28"/>
      <c r="E16" s="31"/>
      <c r="F16" s="49"/>
      <c r="G16" s="4"/>
      <c r="H16" s="31"/>
      <c r="I16" s="32"/>
      <c r="J16" s="32"/>
      <c r="K16" s="12">
        <f t="shared" si="8"/>
        <v>3020.79</v>
      </c>
      <c r="L16" s="3">
        <v>63.4</v>
      </c>
      <c r="M16" s="3">
        <v>271.49</v>
      </c>
      <c r="N16" s="2">
        <f t="shared" si="9"/>
        <v>22.249999999999545</v>
      </c>
      <c r="O16" s="2">
        <f t="shared" si="2"/>
        <v>357.13999999999953</v>
      </c>
      <c r="P16" s="18">
        <f t="shared" si="3"/>
        <v>2663.6500000000005</v>
      </c>
      <c r="Q16" s="24"/>
      <c r="R16" s="25">
        <v>2663.65</v>
      </c>
    </row>
    <row r="17" spans="1:18" x14ac:dyDescent="0.25">
      <c r="A17" s="50">
        <v>11</v>
      </c>
      <c r="B17" s="16" t="s">
        <v>7</v>
      </c>
      <c r="C17" s="14">
        <f>2211.97+597.23</f>
        <v>2809.2</v>
      </c>
      <c r="D17" s="28"/>
      <c r="E17" s="31"/>
      <c r="F17" s="31"/>
      <c r="G17" s="31"/>
      <c r="H17" s="31">
        <f>1105.98+298.61</f>
        <v>1404.5900000000001</v>
      </c>
      <c r="I17" s="32"/>
      <c r="J17" s="32"/>
      <c r="K17" s="12">
        <f t="shared" si="8"/>
        <v>4213.79</v>
      </c>
      <c r="L17" s="3">
        <v>49.43</v>
      </c>
      <c r="M17" s="3">
        <v>246.1</v>
      </c>
      <c r="N17" s="2">
        <f t="shared" si="9"/>
        <v>421.87999999999965</v>
      </c>
      <c r="O17" s="2">
        <f t="shared" si="2"/>
        <v>717.40999999999963</v>
      </c>
      <c r="P17" s="18">
        <f t="shared" si="3"/>
        <v>3496.38</v>
      </c>
      <c r="Q17" s="24"/>
      <c r="R17" s="25">
        <v>3496.38</v>
      </c>
    </row>
    <row r="18" spans="1:18" x14ac:dyDescent="0.25">
      <c r="A18" s="50">
        <v>12</v>
      </c>
      <c r="B18" s="16" t="s">
        <v>61</v>
      </c>
      <c r="C18" s="14">
        <f>3231.21+96.94</f>
        <v>3328.15</v>
      </c>
      <c r="D18" s="28">
        <v>73.42</v>
      </c>
      <c r="E18" s="31"/>
      <c r="F18" s="31"/>
      <c r="G18" s="31"/>
      <c r="H18" s="31">
        <f>1615.61+48.47</f>
        <v>1664.08</v>
      </c>
      <c r="I18" s="32"/>
      <c r="J18" s="32"/>
      <c r="K18" s="12">
        <f t="shared" si="8"/>
        <v>5065.6499999999996</v>
      </c>
      <c r="L18" s="3">
        <v>79.42</v>
      </c>
      <c r="M18" s="3">
        <v>317.18</v>
      </c>
      <c r="N18" s="2">
        <f t="shared" si="9"/>
        <v>40.699999999998909</v>
      </c>
      <c r="O18" s="2">
        <f t="shared" si="2"/>
        <v>437.29999999999893</v>
      </c>
      <c r="P18" s="18">
        <f t="shared" si="3"/>
        <v>4628.3500000000004</v>
      </c>
      <c r="Q18" s="24"/>
      <c r="R18" s="25">
        <v>4628.3500000000004</v>
      </c>
    </row>
    <row r="19" spans="1:18" x14ac:dyDescent="0.25">
      <c r="A19" s="50">
        <v>13</v>
      </c>
      <c r="B19" s="16" t="s">
        <v>8</v>
      </c>
      <c r="C19" s="14">
        <f>5915.87+1327.92</f>
        <v>7243.79</v>
      </c>
      <c r="D19" s="28">
        <v>2936.92</v>
      </c>
      <c r="E19" s="31"/>
      <c r="F19" s="31"/>
      <c r="G19" s="31"/>
      <c r="H19" s="31">
        <f>2957.94+663.96+1468.46</f>
        <v>5090.3600000000006</v>
      </c>
      <c r="I19" s="32"/>
      <c r="J19" s="32"/>
      <c r="K19" s="12">
        <f t="shared" si="8"/>
        <v>15271.07</v>
      </c>
      <c r="L19" s="3">
        <v>1546.12</v>
      </c>
      <c r="M19" s="3">
        <v>828.38</v>
      </c>
      <c r="N19" s="2">
        <f t="shared" si="9"/>
        <v>624.59000000000196</v>
      </c>
      <c r="O19" s="2">
        <f t="shared" si="2"/>
        <v>2999.090000000002</v>
      </c>
      <c r="P19" s="18">
        <f t="shared" si="3"/>
        <v>12271.979999999998</v>
      </c>
      <c r="Q19" s="24"/>
      <c r="R19" s="25">
        <v>12271.98</v>
      </c>
    </row>
    <row r="20" spans="1:18" x14ac:dyDescent="0.25">
      <c r="A20" s="50">
        <v>14</v>
      </c>
      <c r="B20" s="16" t="s">
        <v>9</v>
      </c>
      <c r="C20" s="14">
        <f>2771.37+277.14</f>
        <v>3048.5099999999998</v>
      </c>
      <c r="D20" s="28"/>
      <c r="E20" s="31"/>
      <c r="F20" s="31"/>
      <c r="G20" s="31"/>
      <c r="H20" s="31">
        <f>1385.69+138.57</f>
        <v>1524.26</v>
      </c>
      <c r="I20" s="32"/>
      <c r="J20" s="32"/>
      <c r="K20" s="12">
        <f t="shared" si="8"/>
        <v>4572.7699999999995</v>
      </c>
      <c r="L20" s="3">
        <v>65.23</v>
      </c>
      <c r="M20" s="3">
        <v>274.81</v>
      </c>
      <c r="N20" s="2">
        <f t="shared" si="9"/>
        <v>8.3899999999994179</v>
      </c>
      <c r="O20" s="2">
        <f t="shared" si="2"/>
        <v>348.42999999999944</v>
      </c>
      <c r="P20" s="18">
        <f t="shared" si="3"/>
        <v>4224.34</v>
      </c>
      <c r="Q20" s="24"/>
      <c r="R20" s="25">
        <v>4224.34</v>
      </c>
    </row>
    <row r="21" spans="1:18" x14ac:dyDescent="0.25">
      <c r="A21" s="50">
        <v>15</v>
      </c>
      <c r="B21" s="16" t="s">
        <v>10</v>
      </c>
      <c r="C21" s="14">
        <f>15270.08+9330.02</f>
        <v>24600.1</v>
      </c>
      <c r="D21" s="28">
        <v>20614.61</v>
      </c>
      <c r="E21" s="31"/>
      <c r="F21" s="31"/>
      <c r="G21" s="31"/>
      <c r="H21" s="31"/>
      <c r="I21" s="32"/>
      <c r="J21" s="32"/>
      <c r="K21" s="12">
        <f t="shared" si="8"/>
        <v>45214.71</v>
      </c>
      <c r="L21" s="3">
        <v>9708.5</v>
      </c>
      <c r="M21" s="3">
        <v>828.38</v>
      </c>
      <c r="N21" s="2">
        <f t="shared" si="9"/>
        <v>6223.4500000000007</v>
      </c>
      <c r="O21" s="2">
        <f t="shared" si="2"/>
        <v>16760.330000000002</v>
      </c>
      <c r="P21" s="18">
        <f t="shared" si="3"/>
        <v>28454.379999999997</v>
      </c>
      <c r="Q21" s="24"/>
      <c r="R21" s="25">
        <v>28454.38</v>
      </c>
    </row>
    <row r="22" spans="1:18" x14ac:dyDescent="0.25">
      <c r="A22" s="50">
        <v>16</v>
      </c>
      <c r="B22" s="16" t="s">
        <v>11</v>
      </c>
      <c r="C22" s="14">
        <f>13962.05+4691.25</f>
        <v>18653.3</v>
      </c>
      <c r="D22" s="28">
        <v>2792.41</v>
      </c>
      <c r="E22" s="31"/>
      <c r="F22" s="31"/>
      <c r="G22" s="31"/>
      <c r="H22" s="31"/>
      <c r="I22" s="32"/>
      <c r="J22" s="32"/>
      <c r="K22" s="12">
        <f t="shared" si="8"/>
        <v>21445.71</v>
      </c>
      <c r="L22" s="3">
        <v>4748.2700000000004</v>
      </c>
      <c r="M22" s="3">
        <v>828.38</v>
      </c>
      <c r="N22" s="2">
        <f t="shared" si="9"/>
        <v>2328.0100000000002</v>
      </c>
      <c r="O22" s="2">
        <f t="shared" si="2"/>
        <v>7904.6600000000008</v>
      </c>
      <c r="P22" s="18">
        <f t="shared" si="3"/>
        <v>13541.05</v>
      </c>
      <c r="Q22" s="24"/>
      <c r="R22" s="25">
        <v>13541.05</v>
      </c>
    </row>
    <row r="23" spans="1:18" x14ac:dyDescent="0.25">
      <c r="A23" s="50">
        <v>17</v>
      </c>
      <c r="B23" s="16" t="s">
        <v>12</v>
      </c>
      <c r="C23" s="14">
        <v>7617.74</v>
      </c>
      <c r="D23" s="28"/>
      <c r="E23" s="31"/>
      <c r="F23" s="31"/>
      <c r="G23" s="31"/>
      <c r="H23" s="31"/>
      <c r="I23" s="32"/>
      <c r="J23" s="32"/>
      <c r="K23" s="12">
        <f t="shared" si="8"/>
        <v>7617.74</v>
      </c>
      <c r="L23" s="3">
        <v>893.44</v>
      </c>
      <c r="M23" s="3">
        <v>828.38</v>
      </c>
      <c r="N23" s="2">
        <f t="shared" si="9"/>
        <v>2035.9299999999994</v>
      </c>
      <c r="O23" s="2">
        <f t="shared" si="2"/>
        <v>3757.7499999999995</v>
      </c>
      <c r="P23" s="18">
        <f t="shared" si="3"/>
        <v>3859.9900000000002</v>
      </c>
      <c r="Q23" s="24"/>
      <c r="R23" s="25">
        <v>3859.99</v>
      </c>
    </row>
    <row r="24" spans="1:18" x14ac:dyDescent="0.25">
      <c r="A24" s="50">
        <v>18</v>
      </c>
      <c r="B24" s="16" t="s">
        <v>72</v>
      </c>
      <c r="C24" s="14">
        <f>2182.63+21.83</f>
        <v>2204.46</v>
      </c>
      <c r="D24" s="28">
        <v>73.42</v>
      </c>
      <c r="E24" s="31"/>
      <c r="F24" s="31"/>
      <c r="G24" s="31"/>
      <c r="H24" s="31"/>
      <c r="I24" s="32"/>
      <c r="J24" s="32"/>
      <c r="K24" s="12">
        <f t="shared" si="8"/>
        <v>2277.88</v>
      </c>
      <c r="L24" s="3">
        <v>14.03</v>
      </c>
      <c r="M24" s="3">
        <v>186.82</v>
      </c>
      <c r="N24" s="2">
        <f t="shared" ref="N24" si="10">K24-L24-M24-R24</f>
        <v>30.2199999999998</v>
      </c>
      <c r="O24" s="2">
        <f t="shared" ref="O24" si="11">SUM(L24:N24)</f>
        <v>231.06999999999979</v>
      </c>
      <c r="P24" s="18">
        <f t="shared" ref="P24" si="12">SUM(K24-O24)</f>
        <v>2046.8100000000004</v>
      </c>
      <c r="Q24" s="24"/>
      <c r="R24" s="25">
        <v>2046.81</v>
      </c>
    </row>
    <row r="25" spans="1:18" x14ac:dyDescent="0.25">
      <c r="A25" s="50">
        <v>19</v>
      </c>
      <c r="B25" s="16" t="s">
        <v>55</v>
      </c>
      <c r="C25" s="14">
        <f>3362.41+134.5</f>
        <v>3496.91</v>
      </c>
      <c r="D25" s="28">
        <v>176.24</v>
      </c>
      <c r="E25" s="31"/>
      <c r="F25" s="31"/>
      <c r="G25" s="31"/>
      <c r="H25" s="31">
        <f>1681.21+67.25</f>
        <v>1748.46</v>
      </c>
      <c r="I25" s="32"/>
      <c r="J25" s="32"/>
      <c r="K25" s="12">
        <f t="shared" si="8"/>
        <v>5421.61</v>
      </c>
      <c r="L25" s="3">
        <v>143.61000000000001</v>
      </c>
      <c r="M25" s="3">
        <v>350.41</v>
      </c>
      <c r="N25" s="2">
        <f t="shared" si="9"/>
        <v>73.210000000000036</v>
      </c>
      <c r="O25" s="2">
        <f t="shared" si="2"/>
        <v>567.23</v>
      </c>
      <c r="P25" s="18">
        <f t="shared" si="3"/>
        <v>4854.3799999999992</v>
      </c>
      <c r="Q25" s="24"/>
      <c r="R25" s="25">
        <v>4854.38</v>
      </c>
    </row>
    <row r="26" spans="1:18" x14ac:dyDescent="0.25">
      <c r="A26" s="50">
        <v>20</v>
      </c>
      <c r="B26" s="16" t="s">
        <v>80</v>
      </c>
      <c r="C26" s="14">
        <f>13962.05+4691.25</f>
        <v>18653.3</v>
      </c>
      <c r="D26" s="28">
        <v>2792.41</v>
      </c>
      <c r="E26" s="31"/>
      <c r="F26" s="31"/>
      <c r="G26" s="31"/>
      <c r="H26" s="31">
        <f>6399.27+2150.15+1279.85</f>
        <v>9829.27</v>
      </c>
      <c r="I26" s="32"/>
      <c r="J26" s="32"/>
      <c r="K26" s="12">
        <f t="shared" si="8"/>
        <v>31274.98</v>
      </c>
      <c r="L26" s="3">
        <v>4748.2700000000004</v>
      </c>
      <c r="M26" s="3">
        <v>828.38</v>
      </c>
      <c r="N26" s="2">
        <f t="shared" si="9"/>
        <v>8023.4999999999964</v>
      </c>
      <c r="O26" s="2">
        <f t="shared" si="2"/>
        <v>13600.149999999998</v>
      </c>
      <c r="P26" s="18">
        <f t="shared" si="3"/>
        <v>17674.830000000002</v>
      </c>
      <c r="Q26" s="24"/>
      <c r="R26" s="25">
        <v>17674.830000000002</v>
      </c>
    </row>
    <row r="27" spans="1:18" x14ac:dyDescent="0.25">
      <c r="A27" s="50">
        <v>21</v>
      </c>
      <c r="B27" s="16" t="s">
        <v>13</v>
      </c>
      <c r="C27" s="14">
        <f>4095.56+1269.62</f>
        <v>5365.18</v>
      </c>
      <c r="D27" s="28"/>
      <c r="E27" s="31"/>
      <c r="F27" s="31">
        <f>2047.78+634.81+894.2</f>
        <v>3576.79</v>
      </c>
      <c r="G27" s="31"/>
      <c r="H27" s="31">
        <f>3071.67+952.22</f>
        <v>4023.8900000000003</v>
      </c>
      <c r="I27" s="32"/>
      <c r="J27" s="32"/>
      <c r="K27" s="12">
        <f t="shared" si="8"/>
        <v>12965.86</v>
      </c>
      <c r="L27" s="3">
        <f>375.43+74.11</f>
        <v>449.54</v>
      </c>
      <c r="M27" s="3">
        <f>490.17+338.21</f>
        <v>828.38</v>
      </c>
      <c r="N27" s="2">
        <f t="shared" si="9"/>
        <v>8808.33</v>
      </c>
      <c r="O27" s="2">
        <f t="shared" si="2"/>
        <v>10086.25</v>
      </c>
      <c r="P27" s="18">
        <f>SUM(K27-O27)+H27</f>
        <v>6903.5000000000009</v>
      </c>
      <c r="Q27" s="24"/>
      <c r="R27" s="25">
        <v>2879.61</v>
      </c>
    </row>
    <row r="28" spans="1:18" x14ac:dyDescent="0.25">
      <c r="A28" s="50">
        <v>22</v>
      </c>
      <c r="B28" s="16" t="s">
        <v>14</v>
      </c>
      <c r="C28" s="14">
        <f>5179.1+414.33</f>
        <v>5593.43</v>
      </c>
      <c r="D28" s="28"/>
      <c r="E28" s="31"/>
      <c r="F28" s="31">
        <f>2998.43+239.88+1079.43</f>
        <v>4317.74</v>
      </c>
      <c r="G28" s="31"/>
      <c r="H28" s="31">
        <f>4088.76+327.1</f>
        <v>4415.8600000000006</v>
      </c>
      <c r="I28" s="32"/>
      <c r="J28" s="32"/>
      <c r="K28" s="12">
        <f t="shared" si="8"/>
        <v>14327.03</v>
      </c>
      <c r="L28" s="3">
        <f>572.92+953.76</f>
        <v>1526.6799999999998</v>
      </c>
      <c r="M28" s="3">
        <v>828.38</v>
      </c>
      <c r="N28" s="2">
        <f t="shared" si="9"/>
        <v>2974.5600000000013</v>
      </c>
      <c r="O28" s="2">
        <f t="shared" si="2"/>
        <v>5329.6200000000008</v>
      </c>
      <c r="P28" s="18">
        <f t="shared" si="3"/>
        <v>8997.41</v>
      </c>
      <c r="Q28" s="24"/>
      <c r="R28" s="25">
        <v>8997.41</v>
      </c>
    </row>
    <row r="29" spans="1:18" x14ac:dyDescent="0.25">
      <c r="A29" s="50">
        <v>23</v>
      </c>
      <c r="B29" s="16" t="s">
        <v>15</v>
      </c>
      <c r="C29" s="14">
        <v>2958.86</v>
      </c>
      <c r="D29" s="28"/>
      <c r="E29" s="31"/>
      <c r="F29" s="31"/>
      <c r="G29" s="31"/>
      <c r="H29" s="31"/>
      <c r="I29" s="32"/>
      <c r="J29" s="32"/>
      <c r="K29" s="12">
        <f t="shared" si="8"/>
        <v>2958.86</v>
      </c>
      <c r="L29" s="3">
        <v>59.31</v>
      </c>
      <c r="M29" s="3">
        <v>264.06</v>
      </c>
      <c r="N29" s="2">
        <f t="shared" si="9"/>
        <v>833.66000000000031</v>
      </c>
      <c r="O29" s="2">
        <f t="shared" si="2"/>
        <v>1157.0300000000002</v>
      </c>
      <c r="P29" s="18">
        <f t="shared" si="3"/>
        <v>1801.83</v>
      </c>
      <c r="Q29" s="24"/>
      <c r="R29" s="25">
        <v>1801.83</v>
      </c>
    </row>
    <row r="30" spans="1:18" x14ac:dyDescent="0.25">
      <c r="A30" s="50">
        <v>24</v>
      </c>
      <c r="B30" s="16" t="s">
        <v>16</v>
      </c>
      <c r="C30" s="14">
        <f>5076.08+1439.8</f>
        <v>6515.88</v>
      </c>
      <c r="D30" s="28">
        <v>1468.47</v>
      </c>
      <c r="E30" s="31"/>
      <c r="F30" s="31"/>
      <c r="G30" s="31"/>
      <c r="H30" s="31"/>
      <c r="I30" s="32"/>
      <c r="J30" s="32"/>
      <c r="K30" s="12">
        <f t="shared" si="8"/>
        <v>7984.35</v>
      </c>
      <c r="L30" s="3">
        <v>994.26</v>
      </c>
      <c r="M30" s="3">
        <v>828.38</v>
      </c>
      <c r="N30" s="2">
        <f t="shared" si="9"/>
        <v>728.52999999999975</v>
      </c>
      <c r="O30" s="2">
        <f t="shared" si="2"/>
        <v>2551.1699999999996</v>
      </c>
      <c r="P30" s="18">
        <f t="shared" si="3"/>
        <v>5433.18</v>
      </c>
      <c r="Q30" s="24"/>
      <c r="R30" s="25">
        <v>5433.18</v>
      </c>
    </row>
    <row r="31" spans="1:18" x14ac:dyDescent="0.25">
      <c r="A31" s="50">
        <v>25</v>
      </c>
      <c r="B31" s="16" t="s">
        <v>17</v>
      </c>
      <c r="C31" s="14">
        <f>5631.73+1802.15</f>
        <v>7433.8799999999992</v>
      </c>
      <c r="D31" s="28"/>
      <c r="E31" s="31"/>
      <c r="F31" s="31"/>
      <c r="G31" s="31"/>
      <c r="H31" s="31">
        <f>2815.87+901.08</f>
        <v>3716.95</v>
      </c>
      <c r="I31" s="32"/>
      <c r="J31" s="32"/>
      <c r="K31" s="12">
        <f t="shared" si="8"/>
        <v>11150.829999999998</v>
      </c>
      <c r="L31" s="3">
        <v>947.15</v>
      </c>
      <c r="M31" s="3">
        <v>828.38</v>
      </c>
      <c r="N31" s="2">
        <f t="shared" si="9"/>
        <v>253.5099999999984</v>
      </c>
      <c r="O31" s="2">
        <f t="shared" si="2"/>
        <v>2029.0399999999984</v>
      </c>
      <c r="P31" s="18">
        <f t="shared" si="3"/>
        <v>9121.7899999999991</v>
      </c>
      <c r="Q31" s="24"/>
      <c r="R31" s="25">
        <v>9121.7900000000009</v>
      </c>
    </row>
    <row r="32" spans="1:18" x14ac:dyDescent="0.25">
      <c r="A32" s="50">
        <v>26</v>
      </c>
      <c r="B32" s="16" t="s">
        <v>59</v>
      </c>
      <c r="C32" s="14">
        <f>5277.86+211.11</f>
        <v>5488.9699999999993</v>
      </c>
      <c r="D32" s="28"/>
      <c r="E32" s="31"/>
      <c r="F32" s="31"/>
      <c r="G32" s="31"/>
      <c r="H32" s="31">
        <f>2638.93+105.56</f>
        <v>2744.49</v>
      </c>
      <c r="I32" s="32"/>
      <c r="J32" s="32"/>
      <c r="K32" s="12">
        <f>SUM(C32:I32)</f>
        <v>8233.4599999999991</v>
      </c>
      <c r="L32" s="3">
        <v>473.83</v>
      </c>
      <c r="M32" s="3">
        <v>604.63</v>
      </c>
      <c r="N32" s="2">
        <f t="shared" ref="N32" si="13">K32-L32-M32-R32</f>
        <v>96.109999999998763</v>
      </c>
      <c r="O32" s="2">
        <f t="shared" ref="O32" si="14">SUM(L32:N32)</f>
        <v>1174.5699999999988</v>
      </c>
      <c r="P32" s="18">
        <f>SUM(K32-O32)+H32</f>
        <v>9803.380000000001</v>
      </c>
      <c r="Q32" s="24"/>
      <c r="R32" s="25">
        <v>7058.89</v>
      </c>
    </row>
    <row r="33" spans="1:18" x14ac:dyDescent="0.25">
      <c r="A33" s="50">
        <v>27</v>
      </c>
      <c r="B33" s="16" t="s">
        <v>18</v>
      </c>
      <c r="C33" s="14">
        <f>2146.93+472.32</f>
        <v>2619.25</v>
      </c>
      <c r="D33" s="28"/>
      <c r="E33" s="31"/>
      <c r="F33" s="31"/>
      <c r="G33" s="31"/>
      <c r="H33" s="31"/>
      <c r="I33" s="32"/>
      <c r="J33" s="32"/>
      <c r="K33" s="12">
        <f>SUM(C33:I33)</f>
        <v>2619.25</v>
      </c>
      <c r="L33" s="3">
        <v>26.09</v>
      </c>
      <c r="M33" s="3">
        <v>203.65</v>
      </c>
      <c r="N33" s="2">
        <f t="shared" si="9"/>
        <v>609.50999999999976</v>
      </c>
      <c r="O33" s="2">
        <f t="shared" si="2"/>
        <v>839.24999999999977</v>
      </c>
      <c r="P33" s="18">
        <f>SUM(K33-O33)+H33</f>
        <v>1780.0000000000002</v>
      </c>
      <c r="Q33" s="24"/>
      <c r="R33" s="25">
        <v>1780</v>
      </c>
    </row>
    <row r="34" spans="1:18" x14ac:dyDescent="0.25">
      <c r="A34" s="50">
        <v>28</v>
      </c>
      <c r="B34" s="16" t="s">
        <v>19</v>
      </c>
      <c r="C34" s="14">
        <f>3746.72+584.49</f>
        <v>4331.21</v>
      </c>
      <c r="D34" s="28">
        <v>749.34</v>
      </c>
      <c r="E34" s="31"/>
      <c r="F34" s="31">
        <f>433.83+2169.15+338.39+980.46</f>
        <v>3921.83</v>
      </c>
      <c r="G34" s="31"/>
      <c r="H34" s="31"/>
      <c r="I34" s="32"/>
      <c r="J34" s="32"/>
      <c r="K34" s="12">
        <f>SUM(C34:I34)</f>
        <v>9002.380000000001</v>
      </c>
      <c r="L34" s="3">
        <f>415.58+366.57</f>
        <v>782.15</v>
      </c>
      <c r="M34" s="3">
        <f>408.05+420.33</f>
        <v>828.38</v>
      </c>
      <c r="N34" s="2">
        <f t="shared" si="9"/>
        <v>3203.2600000000011</v>
      </c>
      <c r="O34" s="2">
        <f t="shared" si="2"/>
        <v>4813.7900000000009</v>
      </c>
      <c r="P34" s="18">
        <f t="shared" si="3"/>
        <v>4188.59</v>
      </c>
      <c r="Q34" s="24"/>
      <c r="R34" s="25">
        <v>4188.59</v>
      </c>
    </row>
    <row r="35" spans="1:18" x14ac:dyDescent="0.25">
      <c r="A35" s="50">
        <v>29</v>
      </c>
      <c r="B35" s="16" t="s">
        <v>20</v>
      </c>
      <c r="C35" s="14">
        <f>13962.05+4356.16</f>
        <v>18318.21</v>
      </c>
      <c r="D35" s="28">
        <v>2792.41</v>
      </c>
      <c r="E35" s="31"/>
      <c r="F35" s="31"/>
      <c r="G35" s="31"/>
      <c r="H35" s="31"/>
      <c r="I35" s="32"/>
      <c r="J35" s="32"/>
      <c r="K35" s="12">
        <f t="shared" ref="K35:K40" si="15">SUM(C35:I35)</f>
        <v>21110.62</v>
      </c>
      <c r="L35" s="3">
        <v>4656.12</v>
      </c>
      <c r="M35" s="3">
        <v>828.38</v>
      </c>
      <c r="N35" s="2">
        <f t="shared" si="9"/>
        <v>8.2800000000006548</v>
      </c>
      <c r="O35" s="2">
        <f t="shared" si="2"/>
        <v>5492.7800000000007</v>
      </c>
      <c r="P35" s="18">
        <f t="shared" si="3"/>
        <v>15617.839999999998</v>
      </c>
      <c r="Q35" s="24"/>
      <c r="R35" s="25">
        <v>15617.84</v>
      </c>
    </row>
    <row r="36" spans="1:18" x14ac:dyDescent="0.25">
      <c r="A36" s="50">
        <v>30</v>
      </c>
      <c r="B36" s="16" t="s">
        <v>60</v>
      </c>
      <c r="C36" s="14">
        <f>5799.31+835.1</f>
        <v>6634.4100000000008</v>
      </c>
      <c r="D36" s="28">
        <v>1159.8599999999999</v>
      </c>
      <c r="E36" s="31"/>
      <c r="F36" s="31"/>
      <c r="G36" s="31"/>
      <c r="H36" s="31"/>
      <c r="I36" s="32"/>
      <c r="J36" s="32"/>
      <c r="K36" s="12">
        <f t="shared" si="15"/>
        <v>7794.27</v>
      </c>
      <c r="L36" s="3">
        <v>1046.26</v>
      </c>
      <c r="M36" s="3">
        <v>828.38</v>
      </c>
      <c r="N36" s="2">
        <f t="shared" si="9"/>
        <v>32.840000000000146</v>
      </c>
      <c r="O36" s="2">
        <f t="shared" si="2"/>
        <v>1907.48</v>
      </c>
      <c r="P36" s="18">
        <f t="shared" si="3"/>
        <v>5886.7900000000009</v>
      </c>
      <c r="Q36" s="24"/>
      <c r="R36" s="25">
        <v>5886.79</v>
      </c>
    </row>
    <row r="37" spans="1:18" x14ac:dyDescent="0.25">
      <c r="A37" s="50">
        <v>31</v>
      </c>
      <c r="B37" s="16" t="s">
        <v>21</v>
      </c>
      <c r="C37" s="14">
        <f>5517.84+529.71</f>
        <v>6047.55</v>
      </c>
      <c r="D37" s="28">
        <v>1103.57</v>
      </c>
      <c r="E37" s="31"/>
      <c r="F37" s="31"/>
      <c r="G37" s="31"/>
      <c r="H37" s="31"/>
      <c r="I37" s="32"/>
      <c r="J37" s="32"/>
      <c r="K37" s="12">
        <f t="shared" si="15"/>
        <v>7151.12</v>
      </c>
      <c r="L37" s="3">
        <v>765.12</v>
      </c>
      <c r="M37" s="3">
        <v>828.38</v>
      </c>
      <c r="N37" s="2">
        <f t="shared" si="9"/>
        <v>1744.0299999999997</v>
      </c>
      <c r="O37" s="2">
        <f t="shared" si="2"/>
        <v>3337.5299999999997</v>
      </c>
      <c r="P37" s="18">
        <f>SUM(K37-O37)+H37</f>
        <v>3813.59</v>
      </c>
      <c r="Q37" s="24"/>
      <c r="R37" s="25">
        <v>3813.59</v>
      </c>
    </row>
    <row r="38" spans="1:18" x14ac:dyDescent="0.25">
      <c r="A38" s="50">
        <v>32</v>
      </c>
      <c r="B38" s="16" t="s">
        <v>57</v>
      </c>
      <c r="C38" s="14">
        <f>1968.43+78.74</f>
        <v>2047.17</v>
      </c>
      <c r="D38" s="28"/>
      <c r="E38" s="31"/>
      <c r="F38" s="31">
        <f>302.84+12.11+104.98</f>
        <v>419.93</v>
      </c>
      <c r="G38" s="31"/>
      <c r="H38" s="31">
        <f>1135.63+45.43</f>
        <v>1181.0600000000002</v>
      </c>
      <c r="I38" s="32"/>
      <c r="J38" s="32"/>
      <c r="K38" s="12">
        <f t="shared" si="15"/>
        <v>3648.16</v>
      </c>
      <c r="L38" s="3"/>
      <c r="M38" s="3">
        <f>171.53+33.52</f>
        <v>205.05</v>
      </c>
      <c r="N38" s="2">
        <f t="shared" ref="N38" si="16">K38-L38-M38-R38</f>
        <v>406.15999999999985</v>
      </c>
      <c r="O38" s="2">
        <f t="shared" ref="O38" si="17">SUM(L38:N38)</f>
        <v>611.20999999999981</v>
      </c>
      <c r="P38" s="18">
        <f t="shared" ref="P38" si="18">SUM(K38-O38)</f>
        <v>3036.95</v>
      </c>
      <c r="Q38" s="24"/>
      <c r="R38" s="25">
        <v>3036.95</v>
      </c>
    </row>
    <row r="39" spans="1:18" x14ac:dyDescent="0.25">
      <c r="A39" s="50">
        <v>33</v>
      </c>
      <c r="B39" s="16" t="s">
        <v>22</v>
      </c>
      <c r="C39" s="14">
        <f>3282.15+426.68</f>
        <v>3708.83</v>
      </c>
      <c r="D39" s="28"/>
      <c r="E39" s="31"/>
      <c r="F39" s="31"/>
      <c r="G39" s="31"/>
      <c r="H39" s="31">
        <f>1641.08+213.34</f>
        <v>1854.4199999999998</v>
      </c>
      <c r="I39" s="32"/>
      <c r="J39" s="32"/>
      <c r="K39" s="12">
        <f t="shared" si="15"/>
        <v>5563.25</v>
      </c>
      <c r="L39" s="3">
        <v>148.21</v>
      </c>
      <c r="M39" s="3">
        <v>355.41</v>
      </c>
      <c r="N39" s="2">
        <f t="shared" si="9"/>
        <v>1022.1600000000003</v>
      </c>
      <c r="O39" s="2">
        <f t="shared" si="2"/>
        <v>1525.7800000000002</v>
      </c>
      <c r="P39" s="18">
        <f t="shared" si="3"/>
        <v>4037.47</v>
      </c>
      <c r="Q39" s="24"/>
      <c r="R39" s="25">
        <v>4037.47</v>
      </c>
    </row>
    <row r="40" spans="1:18" x14ac:dyDescent="0.25">
      <c r="A40" s="50">
        <v>34</v>
      </c>
      <c r="B40" s="16" t="s">
        <v>23</v>
      </c>
      <c r="C40" s="14">
        <f>13962.05+4523.7</f>
        <v>18485.75</v>
      </c>
      <c r="D40" s="28">
        <v>2792.41</v>
      </c>
      <c r="E40" s="31"/>
      <c r="F40" s="31"/>
      <c r="G40" s="31"/>
      <c r="H40" s="31"/>
      <c r="I40" s="32"/>
      <c r="J40" s="32"/>
      <c r="K40" s="12">
        <f t="shared" si="15"/>
        <v>21278.16</v>
      </c>
      <c r="L40" s="3">
        <v>4650.05</v>
      </c>
      <c r="M40" s="3">
        <v>828.38</v>
      </c>
      <c r="N40" s="2">
        <f t="shared" si="9"/>
        <v>81.31000000000131</v>
      </c>
      <c r="O40" s="2">
        <f t="shared" si="2"/>
        <v>5559.7400000000016</v>
      </c>
      <c r="P40" s="18">
        <f t="shared" si="3"/>
        <v>15718.419999999998</v>
      </c>
      <c r="Q40" s="24"/>
      <c r="R40" s="25">
        <v>15718.42</v>
      </c>
    </row>
    <row r="41" spans="1:18" x14ac:dyDescent="0.25">
      <c r="A41" s="50">
        <v>35</v>
      </c>
      <c r="B41" s="38" t="s">
        <v>24</v>
      </c>
      <c r="C41" s="39">
        <f>2310.84+277.3</f>
        <v>2588.1400000000003</v>
      </c>
      <c r="D41" s="29"/>
      <c r="E41" s="40"/>
      <c r="F41" s="40"/>
      <c r="G41" s="40"/>
      <c r="H41" s="40">
        <f>1155.42+138.65</f>
        <v>1294.0700000000002</v>
      </c>
      <c r="I41" s="37"/>
      <c r="J41" s="37"/>
      <c r="K41" s="41">
        <f t="shared" ref="K41:K48" si="19">SUM(C41:I41)</f>
        <v>3882.2100000000005</v>
      </c>
      <c r="L41" s="42">
        <v>34.840000000000003</v>
      </c>
      <c r="M41" s="42">
        <v>219.57</v>
      </c>
      <c r="N41" s="43">
        <f t="shared" ref="N41:N58" si="20">K41-L41-M41-R41</f>
        <v>470.83000000000038</v>
      </c>
      <c r="O41" s="43">
        <f t="shared" si="2"/>
        <v>725.24000000000035</v>
      </c>
      <c r="P41" s="44">
        <f t="shared" si="3"/>
        <v>3156.9700000000003</v>
      </c>
      <c r="Q41" s="24"/>
      <c r="R41" s="25">
        <v>3156.97</v>
      </c>
    </row>
    <row r="42" spans="1:18" x14ac:dyDescent="0.25">
      <c r="A42" s="50">
        <v>36</v>
      </c>
      <c r="B42" s="16" t="s">
        <v>25</v>
      </c>
      <c r="C42" s="14">
        <f>4167.45+916.84</f>
        <v>5084.29</v>
      </c>
      <c r="D42" s="28"/>
      <c r="E42" s="31"/>
      <c r="F42" s="31"/>
      <c r="G42" s="31"/>
      <c r="H42" s="31">
        <f>2083.73+458.42</f>
        <v>2542.15</v>
      </c>
      <c r="I42" s="33"/>
      <c r="J42" s="33"/>
      <c r="K42" s="12">
        <f t="shared" si="19"/>
        <v>7626.4400000000005</v>
      </c>
      <c r="L42" s="3">
        <v>384.54</v>
      </c>
      <c r="M42" s="3">
        <v>547.97</v>
      </c>
      <c r="N42" s="2">
        <f t="shared" si="20"/>
        <v>536.44000000000051</v>
      </c>
      <c r="O42" s="2">
        <f t="shared" si="2"/>
        <v>1468.9500000000005</v>
      </c>
      <c r="P42" s="18">
        <f t="shared" si="3"/>
        <v>6157.49</v>
      </c>
      <c r="Q42" s="24"/>
      <c r="R42" s="25">
        <v>6157.49</v>
      </c>
    </row>
    <row r="43" spans="1:18" x14ac:dyDescent="0.25">
      <c r="A43" s="50">
        <v>37</v>
      </c>
      <c r="B43" s="16" t="s">
        <v>26</v>
      </c>
      <c r="C43" s="14">
        <f>7986.01+1197.9</f>
        <v>9183.91</v>
      </c>
      <c r="D43" s="28"/>
      <c r="E43" s="31"/>
      <c r="F43" s="31">
        <f>1228.62+184.29+470.97</f>
        <v>1883.8799999999999</v>
      </c>
      <c r="G43" s="31"/>
      <c r="H43" s="31">
        <f>4607.31+691.1</f>
        <v>5298.4100000000008</v>
      </c>
      <c r="I43" s="33">
        <v>4723.42</v>
      </c>
      <c r="J43" s="33"/>
      <c r="K43" s="12">
        <f t="shared" si="19"/>
        <v>21089.620000000003</v>
      </c>
      <c r="L43" s="3">
        <f>2732.72+460.17</f>
        <v>3192.89</v>
      </c>
      <c r="M43" s="3">
        <f>619.25+209.13</f>
        <v>828.38</v>
      </c>
      <c r="N43" s="2">
        <f t="shared" si="20"/>
        <v>2051.1000000000022</v>
      </c>
      <c r="O43" s="2">
        <f t="shared" si="2"/>
        <v>6072.3700000000026</v>
      </c>
      <c r="P43" s="18">
        <f t="shared" si="3"/>
        <v>15017.25</v>
      </c>
      <c r="Q43" s="24"/>
      <c r="R43" s="25">
        <v>15017.25</v>
      </c>
    </row>
    <row r="44" spans="1:18" x14ac:dyDescent="0.25">
      <c r="A44" s="50">
        <v>38</v>
      </c>
      <c r="B44" s="16" t="s">
        <v>27</v>
      </c>
      <c r="C44" s="14">
        <f>4969.43+2583.12</f>
        <v>7552.55</v>
      </c>
      <c r="D44" s="28">
        <v>5363.04</v>
      </c>
      <c r="E44" s="31"/>
      <c r="F44" s="31">
        <f>1242.36+645.78+1076.3+1340.76</f>
        <v>4305.2</v>
      </c>
      <c r="G44" s="31"/>
      <c r="H44" s="31">
        <f>3105.9+1614.45+3351.9</f>
        <v>8072.25</v>
      </c>
      <c r="I44" s="33"/>
      <c r="J44" s="33"/>
      <c r="K44" s="12">
        <f t="shared" si="19"/>
        <v>25293.040000000001</v>
      </c>
      <c r="L44" s="3">
        <f>2575.32+196.71</f>
        <v>2772.03</v>
      </c>
      <c r="M44" s="3">
        <f>389.48+438.9</f>
        <v>828.38</v>
      </c>
      <c r="N44" s="2">
        <f>K44-L44-M44-R44</f>
        <v>4622.4799999999996</v>
      </c>
      <c r="O44" s="2">
        <f>SUM(L44:N44)</f>
        <v>8222.89</v>
      </c>
      <c r="P44" s="18">
        <f t="shared" si="3"/>
        <v>17070.150000000001</v>
      </c>
      <c r="Q44" s="24"/>
      <c r="R44" s="25">
        <v>17070.150000000001</v>
      </c>
    </row>
    <row r="45" spans="1:18" x14ac:dyDescent="0.25">
      <c r="A45" s="50">
        <v>39</v>
      </c>
      <c r="B45" s="16" t="s">
        <v>28</v>
      </c>
      <c r="C45" s="14">
        <f>5799.31+1043.88</f>
        <v>6843.1900000000005</v>
      </c>
      <c r="D45" s="28">
        <v>1159.8599999999999</v>
      </c>
      <c r="E45" s="31"/>
      <c r="F45" s="31"/>
      <c r="G45" s="31"/>
      <c r="H45" s="31"/>
      <c r="I45" s="33"/>
      <c r="J45" s="33"/>
      <c r="K45" s="12">
        <f t="shared" si="19"/>
        <v>8003.05</v>
      </c>
      <c r="L45" s="3">
        <v>999.4</v>
      </c>
      <c r="M45" s="3">
        <v>828.38</v>
      </c>
      <c r="N45" s="2">
        <f t="shared" si="20"/>
        <v>536.73000000000047</v>
      </c>
      <c r="O45" s="2">
        <f t="shared" si="2"/>
        <v>2364.5100000000002</v>
      </c>
      <c r="P45" s="18">
        <f t="shared" si="3"/>
        <v>5638.54</v>
      </c>
      <c r="Q45" s="24"/>
      <c r="R45" s="25">
        <v>5638.54</v>
      </c>
    </row>
    <row r="46" spans="1:18" x14ac:dyDescent="0.25">
      <c r="A46" s="50">
        <v>40</v>
      </c>
      <c r="B46" s="16" t="s">
        <v>29</v>
      </c>
      <c r="C46" s="14">
        <f>6403.56+1857.03</f>
        <v>8260.59</v>
      </c>
      <c r="D46" s="28">
        <v>95.45</v>
      </c>
      <c r="E46" s="31"/>
      <c r="F46" s="28"/>
      <c r="G46" s="31"/>
      <c r="H46" s="31"/>
      <c r="I46" s="33"/>
      <c r="J46" s="33"/>
      <c r="K46" s="12">
        <f t="shared" si="19"/>
        <v>8356.0400000000009</v>
      </c>
      <c r="L46" s="3">
        <v>1148.6099999999999</v>
      </c>
      <c r="M46" s="3">
        <v>828.38</v>
      </c>
      <c r="N46" s="2">
        <f t="shared" si="20"/>
        <v>976.57000000000153</v>
      </c>
      <c r="O46" s="2">
        <f t="shared" si="2"/>
        <v>2953.5600000000013</v>
      </c>
      <c r="P46" s="18">
        <f>SUM(K46-O46)+H46</f>
        <v>5402.48</v>
      </c>
      <c r="Q46" s="24"/>
      <c r="R46" s="25">
        <v>5402.48</v>
      </c>
    </row>
    <row r="47" spans="1:18" x14ac:dyDescent="0.25">
      <c r="A47" s="50">
        <v>41</v>
      </c>
      <c r="B47" s="16" t="s">
        <v>30</v>
      </c>
      <c r="C47" s="14">
        <f>5799.31+835.1</f>
        <v>6634.4100000000008</v>
      </c>
      <c r="D47" s="28">
        <v>1159.8599999999999</v>
      </c>
      <c r="E47" s="31"/>
      <c r="F47" s="31"/>
      <c r="G47" s="31"/>
      <c r="H47" s="31">
        <f>2899.66+417.55+579.93</f>
        <v>3897.14</v>
      </c>
      <c r="I47" s="33"/>
      <c r="J47" s="33"/>
      <c r="K47" s="12">
        <f t="shared" si="19"/>
        <v>11691.41</v>
      </c>
      <c r="L47" s="3">
        <v>1046.26</v>
      </c>
      <c r="M47" s="3">
        <v>828.38</v>
      </c>
      <c r="N47" s="2">
        <f t="shared" si="20"/>
        <v>972.09000000000015</v>
      </c>
      <c r="O47" s="2">
        <f t="shared" si="2"/>
        <v>2846.73</v>
      </c>
      <c r="P47" s="18">
        <f>SUM(K47-O47)+H47</f>
        <v>12741.82</v>
      </c>
      <c r="Q47" s="24"/>
      <c r="R47" s="25">
        <v>8844.68</v>
      </c>
    </row>
    <row r="48" spans="1:18" x14ac:dyDescent="0.25">
      <c r="A48" s="50">
        <v>42</v>
      </c>
      <c r="B48" s="16" t="s">
        <v>31</v>
      </c>
      <c r="C48" s="14">
        <f>4473.12+581.51</f>
        <v>5054.63</v>
      </c>
      <c r="D48" s="28"/>
      <c r="E48" s="31"/>
      <c r="F48" s="31"/>
      <c r="G48" s="31"/>
      <c r="H48" s="31">
        <f>2236.56+290.75</f>
        <v>2527.31</v>
      </c>
      <c r="I48" s="33"/>
      <c r="J48" s="33"/>
      <c r="K48" s="12">
        <f t="shared" si="19"/>
        <v>7581.9400000000005</v>
      </c>
      <c r="L48" s="3">
        <v>293.49</v>
      </c>
      <c r="M48" s="3">
        <v>543.82000000000005</v>
      </c>
      <c r="N48" s="2">
        <f t="shared" si="20"/>
        <v>828.30000000000109</v>
      </c>
      <c r="O48" s="2">
        <f t="shared" si="2"/>
        <v>1665.610000000001</v>
      </c>
      <c r="P48" s="18">
        <f t="shared" si="3"/>
        <v>5916.33</v>
      </c>
      <c r="Q48" s="24"/>
      <c r="R48" s="25">
        <v>5916.33</v>
      </c>
    </row>
    <row r="49" spans="1:18" x14ac:dyDescent="0.25">
      <c r="A49" s="50">
        <v>43</v>
      </c>
      <c r="B49" s="16" t="s">
        <v>32</v>
      </c>
      <c r="C49" s="14">
        <f>5219.38+949.93</f>
        <v>6169.31</v>
      </c>
      <c r="D49" s="28">
        <v>2087.75</v>
      </c>
      <c r="E49" s="31"/>
      <c r="F49" s="31">
        <f>519.05+94.46+273.71+207.62</f>
        <v>1094.8400000000001</v>
      </c>
      <c r="G49" s="31">
        <f>1730.16+314.89+912.37+692.06</f>
        <v>3649.48</v>
      </c>
      <c r="H49" s="31">
        <f>2899.66+527.74+1159.86</f>
        <v>4587.2599999999993</v>
      </c>
      <c r="I49" s="33"/>
      <c r="J49" s="33"/>
      <c r="K49" s="12">
        <f t="shared" ref="K49:K56" si="21">SUM(C49:I49)</f>
        <v>17588.64</v>
      </c>
      <c r="L49" s="3">
        <v>1145.49</v>
      </c>
      <c r="M49" s="3">
        <f>740.76+87.62</f>
        <v>828.38</v>
      </c>
      <c r="N49" s="2">
        <f t="shared" si="20"/>
        <v>4951.5599999999995</v>
      </c>
      <c r="O49" s="2">
        <f t="shared" si="2"/>
        <v>6925.4299999999994</v>
      </c>
      <c r="P49" s="18">
        <f t="shared" si="3"/>
        <v>10663.21</v>
      </c>
      <c r="Q49" s="24"/>
      <c r="R49" s="25">
        <v>10663.21</v>
      </c>
    </row>
    <row r="50" spans="1:18" x14ac:dyDescent="0.25">
      <c r="A50" s="50">
        <v>44</v>
      </c>
      <c r="B50" s="16" t="s">
        <v>33</v>
      </c>
      <c r="C50" s="14">
        <f>5998.6+539.87</f>
        <v>6538.47</v>
      </c>
      <c r="D50" s="28"/>
      <c r="E50" s="31"/>
      <c r="F50" s="31"/>
      <c r="G50" s="31"/>
      <c r="H50" s="31">
        <f>2999.3+269.94</f>
        <v>3269.2400000000002</v>
      </c>
      <c r="I50" s="33"/>
      <c r="J50" s="33"/>
      <c r="K50" s="12">
        <f t="shared" si="21"/>
        <v>9807.7100000000009</v>
      </c>
      <c r="L50" s="3">
        <v>669.9</v>
      </c>
      <c r="M50" s="3">
        <v>751.56</v>
      </c>
      <c r="N50" s="2">
        <f t="shared" si="20"/>
        <v>1028.8800000000019</v>
      </c>
      <c r="O50" s="2">
        <f t="shared" si="2"/>
        <v>2450.340000000002</v>
      </c>
      <c r="P50" s="18">
        <f t="shared" si="3"/>
        <v>7357.369999999999</v>
      </c>
      <c r="Q50" s="24"/>
      <c r="R50" s="25">
        <v>7357.37</v>
      </c>
    </row>
    <row r="51" spans="1:18" x14ac:dyDescent="0.25">
      <c r="A51" s="50">
        <v>45</v>
      </c>
      <c r="B51" s="16" t="s">
        <v>56</v>
      </c>
      <c r="C51" s="14">
        <f>2271.26+90.85</f>
        <v>2362.11</v>
      </c>
      <c r="D51" s="28"/>
      <c r="E51" s="31"/>
      <c r="F51" s="31"/>
      <c r="G51" s="31"/>
      <c r="H51" s="31">
        <f>1135.63+45.43</f>
        <v>1181.0600000000002</v>
      </c>
      <c r="I51" s="33"/>
      <c r="J51" s="33"/>
      <c r="K51" s="12">
        <f t="shared" si="21"/>
        <v>3543.17</v>
      </c>
      <c r="L51" s="3">
        <v>19.78</v>
      </c>
      <c r="M51" s="3">
        <v>194.4</v>
      </c>
      <c r="N51" s="2">
        <f t="shared" ref="N51" si="22">K51-L51-M51-R51</f>
        <v>31.099999999999909</v>
      </c>
      <c r="O51" s="2">
        <f t="shared" ref="O51" si="23">SUM(L51:N51)</f>
        <v>245.27999999999992</v>
      </c>
      <c r="P51" s="18">
        <f t="shared" ref="P51" si="24">SUM(K51-O51)</f>
        <v>3297.8900000000003</v>
      </c>
      <c r="Q51" s="24"/>
      <c r="R51" s="25">
        <v>3297.89</v>
      </c>
    </row>
    <row r="52" spans="1:18" x14ac:dyDescent="0.25">
      <c r="A52" s="50">
        <v>46</v>
      </c>
      <c r="B52" s="16" t="s">
        <v>34</v>
      </c>
      <c r="C52" s="14">
        <f>13962.05+5026.34</f>
        <v>18988.39</v>
      </c>
      <c r="D52" s="28">
        <v>2792.41</v>
      </c>
      <c r="E52" s="31"/>
      <c r="F52" s="31"/>
      <c r="G52" s="31"/>
      <c r="H52" s="31"/>
      <c r="I52" s="33"/>
      <c r="J52" s="33"/>
      <c r="K52" s="12">
        <f t="shared" si="21"/>
        <v>21780.799999999999</v>
      </c>
      <c r="L52" s="3">
        <v>4892.5600000000004</v>
      </c>
      <c r="M52" s="3">
        <v>828.38</v>
      </c>
      <c r="N52" s="2">
        <f t="shared" si="20"/>
        <v>147.92999999999847</v>
      </c>
      <c r="O52" s="2">
        <f t="shared" si="2"/>
        <v>5868.869999999999</v>
      </c>
      <c r="P52" s="18">
        <f>SUM(K52-O52)+H52</f>
        <v>15911.93</v>
      </c>
      <c r="Q52" s="24"/>
      <c r="R52" s="25">
        <v>15911.93</v>
      </c>
    </row>
    <row r="53" spans="1:18" x14ac:dyDescent="0.25">
      <c r="A53" s="50">
        <v>47</v>
      </c>
      <c r="B53" s="16" t="s">
        <v>35</v>
      </c>
      <c r="C53" s="14">
        <f>1478.17+221.73</f>
        <v>1699.9</v>
      </c>
      <c r="D53" s="28"/>
      <c r="E53" s="31"/>
      <c r="F53" s="31">
        <f>855.78+128.37+328.05</f>
        <v>1312.2</v>
      </c>
      <c r="G53" s="31"/>
      <c r="H53" s="31">
        <f>1166.97+175.05</f>
        <v>1342.02</v>
      </c>
      <c r="I53" s="33"/>
      <c r="J53" s="33"/>
      <c r="K53" s="12">
        <f t="shared" si="21"/>
        <v>4354.1200000000008</v>
      </c>
      <c r="L53" s="3">
        <v>131.24</v>
      </c>
      <c r="M53" s="3">
        <f>146.36+124.09</f>
        <v>270.45000000000005</v>
      </c>
      <c r="N53" s="2">
        <f t="shared" si="20"/>
        <v>1101.8900000000012</v>
      </c>
      <c r="O53" s="2">
        <f t="shared" si="2"/>
        <v>1503.5800000000013</v>
      </c>
      <c r="P53" s="18">
        <f t="shared" si="3"/>
        <v>2850.5399999999995</v>
      </c>
      <c r="Q53" s="24"/>
      <c r="R53" s="25">
        <v>2850.54</v>
      </c>
    </row>
    <row r="54" spans="1:18" x14ac:dyDescent="0.25">
      <c r="A54" s="50">
        <v>48</v>
      </c>
      <c r="B54" s="16" t="s">
        <v>76</v>
      </c>
      <c r="C54" s="14">
        <f>2639.63+26.4</f>
        <v>2666.03</v>
      </c>
      <c r="D54" s="28"/>
      <c r="E54" s="31"/>
      <c r="F54" s="31">
        <f>527.93+5.28+177.74</f>
        <v>710.94999999999993</v>
      </c>
      <c r="G54" s="31">
        <f>633.51+6.34+213.28</f>
        <v>853.13</v>
      </c>
      <c r="H54" s="31">
        <f>1583.78+15.84</f>
        <v>1599.62</v>
      </c>
      <c r="I54" s="33"/>
      <c r="J54" s="33"/>
      <c r="K54" s="12">
        <f t="shared" si="21"/>
        <v>5829.73</v>
      </c>
      <c r="L54" s="3">
        <v>37.58</v>
      </c>
      <c r="M54" s="3">
        <f>260.91+53.32</f>
        <v>314.23</v>
      </c>
      <c r="N54" s="2">
        <f t="shared" ref="N54" si="25">K54-L54-M54-R54</f>
        <v>1582.0300000000002</v>
      </c>
      <c r="O54" s="2">
        <f t="shared" ref="O54" si="26">SUM(L54:N54)</f>
        <v>1933.8400000000001</v>
      </c>
      <c r="P54" s="18">
        <f t="shared" ref="P54" si="27">SUM(K54-O54)</f>
        <v>3895.8899999999994</v>
      </c>
      <c r="Q54" s="24"/>
      <c r="R54" s="25">
        <v>3895.89</v>
      </c>
    </row>
    <row r="55" spans="1:18" x14ac:dyDescent="0.25">
      <c r="A55" s="50">
        <v>49</v>
      </c>
      <c r="B55" s="16" t="s">
        <v>36</v>
      </c>
      <c r="C55" s="14">
        <f>12110.38+4795.71</f>
        <v>16906.09</v>
      </c>
      <c r="D55" s="28">
        <v>2422.08</v>
      </c>
      <c r="E55" s="31"/>
      <c r="F55" s="31"/>
      <c r="G55" s="31"/>
      <c r="H55" s="31"/>
      <c r="I55" s="33"/>
      <c r="J55" s="33"/>
      <c r="K55" s="12">
        <f t="shared" si="21"/>
        <v>19328.169999999998</v>
      </c>
      <c r="L55" s="3">
        <v>4165.95</v>
      </c>
      <c r="M55" s="3">
        <v>828.38</v>
      </c>
      <c r="N55" s="2">
        <f t="shared" si="20"/>
        <v>2738.2999999999975</v>
      </c>
      <c r="O55" s="2">
        <f t="shared" si="2"/>
        <v>7732.6299999999974</v>
      </c>
      <c r="P55" s="18">
        <f>SUM(K55-O55)+H55</f>
        <v>11595.54</v>
      </c>
      <c r="Q55" s="24"/>
      <c r="R55" s="25">
        <v>11595.54</v>
      </c>
    </row>
    <row r="56" spans="1:18" x14ac:dyDescent="0.25">
      <c r="A56" s="50">
        <v>50</v>
      </c>
      <c r="B56" s="16" t="s">
        <v>37</v>
      </c>
      <c r="C56" s="14">
        <f>3874.58+1162.37</f>
        <v>5036.95</v>
      </c>
      <c r="D56" s="28"/>
      <c r="E56" s="31"/>
      <c r="F56" s="31">
        <f>774.92+232.48+335.8</f>
        <v>1343.2</v>
      </c>
      <c r="G56" s="31"/>
      <c r="H56" s="31"/>
      <c r="I56" s="33"/>
      <c r="J56" s="33"/>
      <c r="K56" s="12">
        <f t="shared" si="21"/>
        <v>6380.15</v>
      </c>
      <c r="L56" s="3">
        <v>313.52</v>
      </c>
      <c r="M56" s="3">
        <f>626.69+102.7</f>
        <v>729.3900000000001</v>
      </c>
      <c r="N56" s="2">
        <f t="shared" si="20"/>
        <v>2935.9799999999987</v>
      </c>
      <c r="O56" s="2">
        <f t="shared" si="2"/>
        <v>3978.8899999999985</v>
      </c>
      <c r="P56" s="18">
        <f t="shared" si="3"/>
        <v>2401.2600000000011</v>
      </c>
      <c r="Q56" s="24"/>
      <c r="R56" s="25">
        <v>2401.2600000000002</v>
      </c>
    </row>
    <row r="57" spans="1:18" x14ac:dyDescent="0.25">
      <c r="A57" s="50">
        <v>51</v>
      </c>
      <c r="B57" s="16" t="s">
        <v>62</v>
      </c>
      <c r="C57" s="14">
        <f>4752.79+95.06</f>
        <v>4847.8500000000004</v>
      </c>
      <c r="D57" s="28"/>
      <c r="E57" s="31"/>
      <c r="F57" s="31"/>
      <c r="G57" s="31"/>
      <c r="H57" s="31">
        <f>2376.4+47.53+293.68</f>
        <v>2717.61</v>
      </c>
      <c r="I57" s="33"/>
      <c r="J57" s="33"/>
      <c r="K57" s="12">
        <f>SUM(C57:I57)</f>
        <v>7565.4600000000009</v>
      </c>
      <c r="L57" s="3">
        <v>395.62</v>
      </c>
      <c r="M57" s="3">
        <v>555.99</v>
      </c>
      <c r="N57" s="2">
        <f t="shared" ref="N57" si="28">K57-L57-M57-R57</f>
        <v>1118.5200000000013</v>
      </c>
      <c r="O57" s="2">
        <f t="shared" ref="O57" si="29">SUM(L57:N57)</f>
        <v>2070.1300000000015</v>
      </c>
      <c r="P57" s="18">
        <f t="shared" ref="P57" si="30">SUM(K57-O57)</f>
        <v>5495.33</v>
      </c>
      <c r="Q57" s="24"/>
      <c r="R57" s="25">
        <v>5495.33</v>
      </c>
    </row>
    <row r="58" spans="1:18" ht="15.75" thickBot="1" x14ac:dyDescent="0.3">
      <c r="A58" s="50">
        <v>52</v>
      </c>
      <c r="B58" s="17" t="s">
        <v>38</v>
      </c>
      <c r="C58" s="15">
        <f>9306.78+1451.86</f>
        <v>10758.640000000001</v>
      </c>
      <c r="D58" s="30">
        <v>930.68</v>
      </c>
      <c r="E58" s="34"/>
      <c r="F58" s="34"/>
      <c r="G58" s="34"/>
      <c r="H58" s="34">
        <f>4653.39+725.93+1861.36</f>
        <v>7240.68</v>
      </c>
      <c r="I58" s="35">
        <v>4723.42</v>
      </c>
      <c r="J58" s="35"/>
      <c r="K58" s="13">
        <f>SUM(C58:J58)</f>
        <v>23653.42</v>
      </c>
      <c r="L58" s="10">
        <v>3620.14</v>
      </c>
      <c r="M58" s="10">
        <v>828.38</v>
      </c>
      <c r="N58" s="11">
        <f t="shared" si="20"/>
        <v>163.14999999999782</v>
      </c>
      <c r="O58" s="11">
        <f t="shared" si="2"/>
        <v>4611.6699999999973</v>
      </c>
      <c r="P58" s="19">
        <f t="shared" si="3"/>
        <v>19041.75</v>
      </c>
      <c r="Q58" s="24"/>
      <c r="R58" s="25">
        <v>19041.75</v>
      </c>
    </row>
    <row r="59" spans="1:18" ht="15.75" thickBot="1" x14ac:dyDescent="0.3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</row>
    <row r="60" spans="1:18" x14ac:dyDescent="0.25">
      <c r="B60" s="52" t="s">
        <v>82</v>
      </c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4"/>
    </row>
    <row r="61" spans="1:18" x14ac:dyDescent="0.25">
      <c r="B61" s="56" t="s">
        <v>78</v>
      </c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8"/>
    </row>
    <row r="62" spans="1:18" ht="5.25" customHeight="1" x14ac:dyDescent="0.25">
      <c r="B62" s="72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4"/>
    </row>
    <row r="63" spans="1:18" x14ac:dyDescent="0.25">
      <c r="B63" s="75" t="s">
        <v>71</v>
      </c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7"/>
    </row>
    <row r="64" spans="1:18" x14ac:dyDescent="0.25">
      <c r="B64" s="78" t="s">
        <v>68</v>
      </c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80"/>
    </row>
    <row r="65" spans="2:16" x14ac:dyDescent="0.25">
      <c r="B65" s="78" t="s">
        <v>69</v>
      </c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80"/>
    </row>
    <row r="66" spans="2:16" x14ac:dyDescent="0.25">
      <c r="B66" s="78" t="s">
        <v>70</v>
      </c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80"/>
    </row>
    <row r="67" spans="2:16" ht="15.75" thickBot="1" x14ac:dyDescent="0.3">
      <c r="B67" s="69" t="s">
        <v>79</v>
      </c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1"/>
    </row>
    <row r="68" spans="2:16" x14ac:dyDescent="0.25"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</row>
    <row r="69" spans="2:16" x14ac:dyDescent="0.25">
      <c r="B69" s="6"/>
      <c r="C69" s="5"/>
      <c r="D69" s="27"/>
      <c r="E69" s="5"/>
      <c r="F69" s="27"/>
      <c r="G69" s="27"/>
      <c r="H69" s="5"/>
      <c r="I69" s="5"/>
      <c r="J69" s="27"/>
      <c r="K69" s="51"/>
      <c r="L69" s="5"/>
      <c r="M69" s="5"/>
      <c r="N69" s="5"/>
      <c r="O69" s="51"/>
      <c r="P69" s="5"/>
    </row>
    <row r="70" spans="2:16" x14ac:dyDescent="0.2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</row>
    <row r="73" spans="2:16" x14ac:dyDescent="0.25">
      <c r="K73" s="1"/>
      <c r="O73" s="1"/>
    </row>
  </sheetData>
  <mergeCells count="19">
    <mergeCell ref="B67:P67"/>
    <mergeCell ref="B62:P62"/>
    <mergeCell ref="B63:P63"/>
    <mergeCell ref="B64:P64"/>
    <mergeCell ref="B66:P66"/>
    <mergeCell ref="B65:P65"/>
    <mergeCell ref="B60:P60"/>
    <mergeCell ref="B59:P59"/>
    <mergeCell ref="B61:P61"/>
    <mergeCell ref="B1:P1"/>
    <mergeCell ref="B2:P2"/>
    <mergeCell ref="B3:P3"/>
    <mergeCell ref="B5:B6"/>
    <mergeCell ref="C5:C6"/>
    <mergeCell ref="L5:L6"/>
    <mergeCell ref="M5:M6"/>
    <mergeCell ref="E5:E6"/>
    <mergeCell ref="D5:D6"/>
    <mergeCell ref="F5:F6"/>
  </mergeCells>
  <pageMargins left="0.23622047244094491" right="3.937007874015748E-2" top="0.19685039370078741" bottom="0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mes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2022-06-06T16:58:08Z</cp:lastPrinted>
  <dcterms:created xsi:type="dcterms:W3CDTF">2016-04-28T12:49:34Z</dcterms:created>
  <dcterms:modified xsi:type="dcterms:W3CDTF">2022-07-01T16:56:52Z</dcterms:modified>
</cp:coreProperties>
</file>