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checkCompatibility="1"/>
  <mc:AlternateContent xmlns:mc="http://schemas.openxmlformats.org/markup-compatibility/2006">
    <mc:Choice Requires="x15">
      <x15ac:absPath xmlns:x15ac="http://schemas.microsoft.com/office/spreadsheetml/2010/11/ac" url="C:\Users\marco.aurelio\AppData\Local\Microsoft\Windows\INetCache\Content.Outlook\GCUAJNIZ\"/>
    </mc:Choice>
  </mc:AlternateContent>
  <xr:revisionPtr revIDLastSave="0" documentId="13_ncr:1_{B8AC912B-9444-4BF6-9A0D-AFEC9CEB7A4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es" sheetId="6" r:id="rId1"/>
  </sheets>
  <definedNames>
    <definedName name="_xlnm.Print_Area" localSheetId="0">mes!$A$1:$P$68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49" i="6" l="1"/>
  <c r="F49" i="6"/>
  <c r="C49" i="6"/>
  <c r="C59" i="6"/>
  <c r="C58" i="6"/>
  <c r="C56" i="6"/>
  <c r="C53" i="6"/>
  <c r="L45" i="6"/>
  <c r="F45" i="6"/>
  <c r="H45" i="6"/>
  <c r="C45" i="6"/>
  <c r="C44" i="6"/>
  <c r="C40" i="6"/>
  <c r="M38" i="6"/>
  <c r="F38" i="6"/>
  <c r="C38" i="6"/>
  <c r="C37" i="6"/>
  <c r="C35" i="6"/>
  <c r="C34" i="6"/>
  <c r="M32" i="6"/>
  <c r="L32" i="6"/>
  <c r="F32" i="6"/>
  <c r="C32" i="6"/>
  <c r="C30" i="6"/>
  <c r="M29" i="6"/>
  <c r="F29" i="6"/>
  <c r="H29" i="6"/>
  <c r="C29" i="6"/>
  <c r="C26" i="6"/>
  <c r="C25" i="6"/>
  <c r="C22" i="6"/>
  <c r="C19" i="6"/>
  <c r="M16" i="6"/>
  <c r="F16" i="6"/>
  <c r="H16" i="6"/>
  <c r="C16" i="6"/>
  <c r="L15" i="6"/>
  <c r="F15" i="6"/>
  <c r="H15" i="6"/>
  <c r="C15" i="6"/>
  <c r="D14" i="6"/>
  <c r="C14" i="6"/>
  <c r="F9" i="6"/>
  <c r="C9" i="6"/>
  <c r="M53" i="6"/>
  <c r="C50" i="6"/>
  <c r="C47" i="6"/>
  <c r="C46" i="6"/>
  <c r="C43" i="6"/>
  <c r="C36" i="6"/>
  <c r="M34" i="6"/>
  <c r="M30" i="6"/>
  <c r="C24" i="6"/>
  <c r="C21" i="6"/>
  <c r="C18" i="6"/>
  <c r="M14" i="6"/>
  <c r="K59" i="6" l="1"/>
  <c r="K43" i="6"/>
  <c r="K55" i="6"/>
  <c r="N55" i="6" s="1"/>
  <c r="O55" i="6" s="1"/>
  <c r="P55" i="6" s="1"/>
  <c r="K13" i="6"/>
  <c r="K10" i="6"/>
  <c r="N10" i="6" s="1"/>
  <c r="O10" i="6" s="1"/>
  <c r="P10" i="6" s="1"/>
  <c r="N13" i="6" l="1"/>
  <c r="O13" i="6" s="1"/>
  <c r="P13" i="6" s="1"/>
  <c r="K24" i="6"/>
  <c r="N24" i="6" s="1"/>
  <c r="O24" i="6" s="1"/>
  <c r="P24" i="6" s="1"/>
  <c r="K53" i="6" l="1"/>
  <c r="K45" i="6"/>
  <c r="K44" i="6"/>
  <c r="K42" i="6"/>
  <c r="K35" i="6"/>
  <c r="K46" i="6"/>
  <c r="K48" i="6"/>
  <c r="K49" i="6"/>
  <c r="K50" i="6"/>
  <c r="K51" i="6"/>
  <c r="K52" i="6"/>
  <c r="K54" i="6"/>
  <c r="K56" i="6"/>
  <c r="K57" i="6"/>
  <c r="K58" i="6"/>
  <c r="K41" i="6"/>
  <c r="K40" i="6"/>
  <c r="K31" i="6"/>
  <c r="K32" i="6"/>
  <c r="K33" i="6"/>
  <c r="K34" i="6"/>
  <c r="K36" i="6"/>
  <c r="K37" i="6"/>
  <c r="K38" i="6"/>
  <c r="K39" i="6"/>
  <c r="K8" i="6"/>
  <c r="K9" i="6"/>
  <c r="K11" i="6"/>
  <c r="K12" i="6"/>
  <c r="K15" i="6"/>
  <c r="K16" i="6"/>
  <c r="K17" i="6"/>
  <c r="K18" i="6"/>
  <c r="K19" i="6"/>
  <c r="K20" i="6"/>
  <c r="K21" i="6"/>
  <c r="K22" i="6"/>
  <c r="K23" i="6"/>
  <c r="K25" i="6"/>
  <c r="K26" i="6"/>
  <c r="K27" i="6"/>
  <c r="K28" i="6"/>
  <c r="K29" i="6"/>
  <c r="K30" i="6"/>
  <c r="K7" i="6"/>
  <c r="K47" i="6" l="1"/>
  <c r="K14" i="6"/>
  <c r="N58" i="6" l="1"/>
  <c r="O58" i="6" s="1"/>
  <c r="P58" i="6" s="1"/>
  <c r="N18" i="6" l="1"/>
  <c r="O18" i="6" s="1"/>
  <c r="P18" i="6" s="1"/>
  <c r="N32" i="6" l="1"/>
  <c r="O32" i="6" s="1"/>
  <c r="P32" i="6" s="1"/>
  <c r="N9" i="6" l="1"/>
  <c r="O9" i="6" s="1"/>
  <c r="P9" i="6" s="1"/>
  <c r="N38" i="6" l="1"/>
  <c r="O38" i="6" s="1"/>
  <c r="P38" i="6" s="1"/>
  <c r="N52" i="6" l="1"/>
  <c r="O52" i="6" s="1"/>
  <c r="P52" i="6" s="1"/>
  <c r="N25" i="6"/>
  <c r="O25" i="6" s="1"/>
  <c r="P25" i="6" s="1"/>
  <c r="N15" i="6" l="1"/>
  <c r="O15" i="6" s="1"/>
  <c r="P15" i="6" s="1"/>
  <c r="N12" i="6" l="1"/>
  <c r="O12" i="6" s="1"/>
  <c r="P12" i="6" s="1"/>
  <c r="N59" i="6"/>
  <c r="O59" i="6" s="1"/>
  <c r="P59" i="6" s="1"/>
  <c r="N54" i="6"/>
  <c r="O54" i="6" s="1"/>
  <c r="N51" i="6"/>
  <c r="O51" i="6" s="1"/>
  <c r="P51" i="6" s="1"/>
  <c r="N50" i="6"/>
  <c r="O50" i="6" s="1"/>
  <c r="P50" i="6" s="1"/>
  <c r="N49" i="6"/>
  <c r="O49" i="6" s="1"/>
  <c r="N48" i="6"/>
  <c r="O48" i="6" s="1"/>
  <c r="N45" i="6"/>
  <c r="O45" i="6" s="1"/>
  <c r="N44" i="6"/>
  <c r="O44" i="6" s="1"/>
  <c r="N43" i="6"/>
  <c r="O43" i="6" s="1"/>
  <c r="P43" i="6" s="1"/>
  <c r="N40" i="6"/>
  <c r="O40" i="6" s="1"/>
  <c r="P40" i="6" s="1"/>
  <c r="N36" i="6"/>
  <c r="O36" i="6" s="1"/>
  <c r="P36" i="6" s="1"/>
  <c r="N35" i="6"/>
  <c r="O35" i="6" s="1"/>
  <c r="P35" i="6" s="1"/>
  <c r="N34" i="6"/>
  <c r="O34" i="6" s="1"/>
  <c r="P34" i="6" s="1"/>
  <c r="N31" i="6"/>
  <c r="O31" i="6" s="1"/>
  <c r="P31" i="6" s="1"/>
  <c r="N30" i="6"/>
  <c r="O30" i="6" s="1"/>
  <c r="P30" i="6" s="1"/>
  <c r="N29" i="6"/>
  <c r="O29" i="6" s="1"/>
  <c r="P29" i="6" s="1"/>
  <c r="N28" i="6"/>
  <c r="O28" i="6" s="1"/>
  <c r="P28" i="6" s="1"/>
  <c r="N26" i="6"/>
  <c r="O26" i="6" s="1"/>
  <c r="P26" i="6" s="1"/>
  <c r="N23" i="6"/>
  <c r="O23" i="6" s="1"/>
  <c r="P23" i="6" s="1"/>
  <c r="N22" i="6"/>
  <c r="O22" i="6" s="1"/>
  <c r="P22" i="6" s="1"/>
  <c r="N21" i="6"/>
  <c r="O21" i="6" s="1"/>
  <c r="P21" i="6" s="1"/>
  <c r="N19" i="6"/>
  <c r="O19" i="6" s="1"/>
  <c r="P19" i="6" s="1"/>
  <c r="N7" i="6"/>
  <c r="O7" i="6" s="1"/>
  <c r="P7" i="6" s="1"/>
  <c r="N42" i="6" l="1"/>
  <c r="O42" i="6" s="1"/>
  <c r="P42" i="6" s="1"/>
  <c r="N8" i="6"/>
  <c r="N57" i="6"/>
  <c r="O57" i="6" s="1"/>
  <c r="P57" i="6" s="1"/>
  <c r="N16" i="6"/>
  <c r="O16" i="6" s="1"/>
  <c r="P16" i="6" s="1"/>
  <c r="N53" i="6"/>
  <c r="O53" i="6" s="1"/>
  <c r="P53" i="6" s="1"/>
  <c r="N46" i="6"/>
  <c r="O46" i="6" s="1"/>
  <c r="P46" i="6" s="1"/>
  <c r="N47" i="6"/>
  <c r="O47" i="6" s="1"/>
  <c r="P47" i="6" s="1"/>
  <c r="N56" i="6"/>
  <c r="O56" i="6" s="1"/>
  <c r="P56" i="6" s="1"/>
  <c r="N11" i="6"/>
  <c r="O11" i="6" s="1"/>
  <c r="P11" i="6" s="1"/>
  <c r="N33" i="6"/>
  <c r="O33" i="6" s="1"/>
  <c r="P33" i="6" s="1"/>
  <c r="N27" i="6"/>
  <c r="O27" i="6" s="1"/>
  <c r="P27" i="6" s="1"/>
  <c r="N37" i="6"/>
  <c r="O37" i="6" s="1"/>
  <c r="P37" i="6" s="1"/>
  <c r="N41" i="6"/>
  <c r="O41" i="6" s="1"/>
  <c r="P41" i="6" s="1"/>
  <c r="N20" i="6"/>
  <c r="O20" i="6" s="1"/>
  <c r="P20" i="6" s="1"/>
  <c r="N17" i="6"/>
  <c r="O17" i="6" s="1"/>
  <c r="P17" i="6" s="1"/>
  <c r="N14" i="6"/>
  <c r="O14" i="6" s="1"/>
  <c r="P14" i="6" s="1"/>
  <c r="P45" i="6"/>
  <c r="P44" i="6"/>
  <c r="P48" i="6"/>
  <c r="N39" i="6"/>
  <c r="O39" i="6" s="1"/>
  <c r="P39" i="6" s="1"/>
  <c r="P49" i="6"/>
  <c r="P54" i="6"/>
  <c r="O8" i="6" l="1"/>
  <c r="P8" i="6" l="1"/>
</calcChain>
</file>

<file path=xl/sharedStrings.xml><?xml version="1.0" encoding="utf-8"?>
<sst xmlns="http://schemas.openxmlformats.org/spreadsheetml/2006/main" count="86" uniqueCount="84">
  <si>
    <t>ADRIANA IAIZZO MAGALHAES</t>
  </si>
  <si>
    <t>ALBERTO AUGUSTO SPITZ</t>
  </si>
  <si>
    <t>ATILA COLONIA CUNNINGHAM</t>
  </si>
  <si>
    <t>BERNADETE DOS SANTOS GONCALVES</t>
  </si>
  <si>
    <t>CELITA ZAIDOVICZ PALTANIN</t>
  </si>
  <si>
    <t>DIRCEU DE FATIMA ZONATTO</t>
  </si>
  <si>
    <t>ELIZANDRA CARVALHO</t>
  </si>
  <si>
    <t>ELIZE SCHNEIDER DUARTE</t>
  </si>
  <si>
    <t>FABRIZIO GUIMARÃES</t>
  </si>
  <si>
    <t>FLAVIO AUGUSTO FORCELLI</t>
  </si>
  <si>
    <t>GERSON LUIZ BORGES DE MACEDO</t>
  </si>
  <si>
    <t>GILBERTO QUADROS</t>
  </si>
  <si>
    <t>GUILHERME CRISTIANO RIBEIRO</t>
  </si>
  <si>
    <t>JAQUELINE ANDREIA FORNAZARI KOHLER</t>
  </si>
  <si>
    <t>JEFERSON LUIZ LUCASKI</t>
  </si>
  <si>
    <t>JENIFER CORREA CECHETTI</t>
  </si>
  <si>
    <t>JERUZA FERNANDES MOURA BURGES</t>
  </si>
  <si>
    <t>JOAO WARDZINSKI</t>
  </si>
  <si>
    <t>LAURA POTIRA MOREIRA DE SOUZA</t>
  </si>
  <si>
    <t>LUCIANA CRISTINA CORRER</t>
  </si>
  <si>
    <t>LUIZ FELIPE WOLFF</t>
  </si>
  <si>
    <t>MANOEL MARCELINO AMARAL</t>
  </si>
  <si>
    <t>MARCO AURELIO ZELASKOS DE CARVALHO</t>
  </si>
  <si>
    <t>MARCOS EUCLIDES ALVES</t>
  </si>
  <si>
    <t>MARIA DE LOURDES BONINI DE ALMEIDA</t>
  </si>
  <si>
    <t>MARLA CRISTINA VASCONCELLOS MORAES</t>
  </si>
  <si>
    <t>MARTIN NEUFELD</t>
  </si>
  <si>
    <t>MAURICIO OSTROWSKI JUNIOR</t>
  </si>
  <si>
    <t>MICHEL DE MENEZES HIROMOTO</t>
  </si>
  <si>
    <t>NADJA NAYRA BAPTISTA ANDREACCI</t>
  </si>
  <si>
    <t>NEILA APARECIDA COSTENARO PAVELSKI</t>
  </si>
  <si>
    <t>NEILOR ARMOND LOPES</t>
  </si>
  <si>
    <t>RAFAEL MARCOS AMARAL</t>
  </si>
  <si>
    <t>ROGERS SILVA GARCEZ DAS NEVES</t>
  </si>
  <si>
    <t>RONALDO VELOSO DE ALCANTARA</t>
  </si>
  <si>
    <t>ROSANA APARECIDA SILVA CARDOSO</t>
  </si>
  <si>
    <t>VALDAIR DE SOUZA</t>
  </si>
  <si>
    <t>VALMIR CORREA DOS SANTOS</t>
  </si>
  <si>
    <t>WANDERLUCIO DOS SANTOS LEITE</t>
  </si>
  <si>
    <t>Remuneração</t>
  </si>
  <si>
    <t>Auxílios</t>
  </si>
  <si>
    <t>Total</t>
  </si>
  <si>
    <t>Rendimentos</t>
  </si>
  <si>
    <t>IR</t>
  </si>
  <si>
    <t>INSS</t>
  </si>
  <si>
    <t xml:space="preserve">Outros </t>
  </si>
  <si>
    <t>Descontos</t>
  </si>
  <si>
    <t>Total de</t>
  </si>
  <si>
    <t>Líquido</t>
  </si>
  <si>
    <t>Nome</t>
  </si>
  <si>
    <t>CONSELHO REGIONAL DE CONTABILIDADE DO PARANÁ</t>
  </si>
  <si>
    <t>FOLHA DE PAGAMENTO</t>
  </si>
  <si>
    <t xml:space="preserve">Honorário de </t>
  </si>
  <si>
    <t>Sucumbência</t>
  </si>
  <si>
    <t>13º Salário</t>
  </si>
  <si>
    <t>HELENA YURIKO HASEGAWA TORQUATO</t>
  </si>
  <si>
    <t>RONALD AURELIO KOCHOLIK</t>
  </si>
  <si>
    <t>MARCIA PORDEUS TORRES</t>
  </si>
  <si>
    <t>ALISSON BOBATO DALSANTO</t>
  </si>
  <si>
    <t>KARIN OLIVEIRA SILVA</t>
  </si>
  <si>
    <t>MAIRÊ APARECIDA DAHLEM</t>
  </si>
  <si>
    <t>ERYKA RENATA FERREIRA DE MELLO SENFF MAIA</t>
  </si>
  <si>
    <t>VICTORIA ROSSINI ANDREIU</t>
  </si>
  <si>
    <t>Gratificações</t>
  </si>
  <si>
    <t>Férias + 1/3</t>
  </si>
  <si>
    <t>Abono Pecuniário</t>
  </si>
  <si>
    <t>+ 1/3</t>
  </si>
  <si>
    <t>Adiantamento</t>
  </si>
  <si>
    <r>
      <rPr>
        <b/>
        <u/>
        <sz val="11"/>
        <color theme="1"/>
        <rFont val="Calibri"/>
        <family val="2"/>
        <scheme val="minor"/>
      </rPr>
      <t>Remuneração</t>
    </r>
    <r>
      <rPr>
        <b/>
        <sz val="11"/>
        <color theme="1"/>
        <rFont val="Calibri"/>
        <family val="2"/>
        <scheme val="minor"/>
      </rPr>
      <t>:</t>
    </r>
    <r>
      <rPr>
        <sz val="11"/>
        <color theme="1"/>
        <rFont val="Calibri"/>
        <family val="2"/>
        <scheme val="minor"/>
      </rPr>
      <t xml:space="preserve"> salário, hora extra, vantagem incorporada ao salário.</t>
    </r>
  </si>
  <si>
    <r>
      <rPr>
        <b/>
        <u/>
        <sz val="11"/>
        <color theme="1"/>
        <rFont val="Calibri"/>
        <family val="2"/>
        <scheme val="minor"/>
      </rPr>
      <t>Gratificações</t>
    </r>
    <r>
      <rPr>
        <b/>
        <sz val="11"/>
        <color theme="1"/>
        <rFont val="Calibri"/>
        <family val="2"/>
        <scheme val="minor"/>
      </rPr>
      <t>:</t>
    </r>
    <r>
      <rPr>
        <sz val="11"/>
        <color theme="1"/>
        <rFont val="Calibri"/>
        <family val="2"/>
        <scheme val="minor"/>
      </rPr>
      <t xml:space="preserve"> gratificações inerentes ao exercício de uma especialidade, pelo exercício de função de confiança, pela qualificação e pelo aperfeiçoamento.</t>
    </r>
  </si>
  <si>
    <r>
      <rPr>
        <b/>
        <u/>
        <sz val="11"/>
        <color theme="1"/>
        <rFont val="Calibri"/>
        <family val="2"/>
        <scheme val="minor"/>
      </rPr>
      <t>Auxílios</t>
    </r>
    <r>
      <rPr>
        <sz val="11"/>
        <color theme="1"/>
        <rFont val="Calibri"/>
        <family val="2"/>
        <scheme val="minor"/>
      </rPr>
      <t>: auxílio pós graduação.</t>
    </r>
  </si>
  <si>
    <r>
      <rPr>
        <b/>
        <u/>
        <sz val="11"/>
        <color rgb="FFFF0000"/>
        <rFont val="Calibri"/>
        <family val="2"/>
        <scheme val="minor"/>
      </rPr>
      <t>Descrição dos Campos</t>
    </r>
    <r>
      <rPr>
        <b/>
        <sz val="11"/>
        <color rgb="FFFF0000"/>
        <rFont val="Calibri"/>
        <family val="2"/>
        <scheme val="minor"/>
      </rPr>
      <t>:</t>
    </r>
  </si>
  <si>
    <t>GUSTAVO ELIAS MUENZ</t>
  </si>
  <si>
    <t>Indenização</t>
  </si>
  <si>
    <t>PDV</t>
  </si>
  <si>
    <t>CARLOS ALBERTO JUNGLES DE CAMARGO</t>
  </si>
  <si>
    <t>SARA EMMANUELLE MARTINS SCARPETTA</t>
  </si>
  <si>
    <t>ANA PAULA ANBIEL GAIGNER</t>
  </si>
  <si>
    <t>A concessão do vale alimentação e/ou vale refeição aos funcionários do CRCPR é realizada por meio de cartão magnético. O benefício é disponibilizado mensalmente no valor de R$ 49,72 (quarenta e nove reais e setenta e dois centavos)</t>
  </si>
  <si>
    <t>recebidos por 22 dias mensais, descontando do funcionário o percentual de 0,50% (meio por cento) sobre o valor total dos vales fornecidos no período.</t>
  </si>
  <si>
    <r>
      <rPr>
        <b/>
        <u/>
        <sz val="11"/>
        <color theme="1"/>
        <rFont val="Calibri"/>
        <family val="2"/>
        <scheme val="minor"/>
      </rPr>
      <t>Outros descontos</t>
    </r>
    <r>
      <rPr>
        <b/>
        <sz val="11"/>
        <color theme="1"/>
        <rFont val="Calibri"/>
        <family val="2"/>
        <scheme val="minor"/>
      </rPr>
      <t>:</t>
    </r>
    <r>
      <rPr>
        <sz val="11"/>
        <color theme="1"/>
        <rFont val="Calibri"/>
        <family val="2"/>
        <scheme val="minor"/>
      </rPr>
      <t xml:space="preserve"> consignação, plano de saúde, alimentação/refeição, vale transporte, pensão alimentícia, entre outros.</t>
    </r>
  </si>
  <si>
    <t>IRAN LUIZ CORDEIRO</t>
  </si>
  <si>
    <t>ABRIL/2022</t>
  </si>
  <si>
    <t xml:space="preserve">OSMAR RODRIGUES DE MELLO (RESCISÃO)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</si>
</sst>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#,##0.00_ ;\-#,##0.00\ 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b/>
      <sz val="13"/>
      <color theme="1"/>
      <name val="Times New Roman"/>
      <family val="1"/>
    </font>
    <font>
      <b/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80">
    <xf numFmtId="0" fontId="0" fillId="0" borderId="0" xfId="0"/>
    <xf numFmtId="164" fontId="0" fillId="0" borderId="0" xfId="0" applyNumberFormat="1"/>
    <xf numFmtId="164" fontId="0" fillId="0" borderId="3" xfId="0" applyNumberFormat="1" applyFill="1" applyBorder="1"/>
    <xf numFmtId="164" fontId="0" fillId="0" borderId="3" xfId="0" applyNumberFormat="1" applyFill="1" applyBorder="1" applyProtection="1">
      <protection locked="0"/>
    </xf>
    <xf numFmtId="0" fontId="0" fillId="0" borderId="0" xfId="0" applyProtection="1">
      <protection locked="0"/>
    </xf>
    <xf numFmtId="0" fontId="2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9" fillId="0" borderId="2" xfId="0" applyFont="1" applyBorder="1" applyAlignment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164" fontId="0" fillId="0" borderId="15" xfId="0" applyNumberFormat="1" applyFill="1" applyBorder="1" applyProtection="1">
      <protection locked="0"/>
    </xf>
    <xf numFmtId="164" fontId="0" fillId="0" borderId="15" xfId="0" applyNumberFormat="1" applyFill="1" applyBorder="1"/>
    <xf numFmtId="164" fontId="1" fillId="4" borderId="4" xfId="0" applyNumberFormat="1" applyFont="1" applyFill="1" applyBorder="1"/>
    <xf numFmtId="164" fontId="1" fillId="4" borderId="5" xfId="0" applyNumberFormat="1" applyFont="1" applyFill="1" applyBorder="1"/>
    <xf numFmtId="164" fontId="1" fillId="4" borderId="4" xfId="0" applyNumberFormat="1" applyFont="1" applyFill="1" applyBorder="1" applyProtection="1">
      <protection locked="0"/>
    </xf>
    <xf numFmtId="164" fontId="1" fillId="4" borderId="5" xfId="0" applyNumberFormat="1" applyFont="1" applyFill="1" applyBorder="1" applyProtection="1">
      <protection locked="0"/>
    </xf>
    <xf numFmtId="0" fontId="0" fillId="0" borderId="17" xfId="0" applyBorder="1"/>
    <xf numFmtId="0" fontId="0" fillId="0" borderId="18" xfId="0" applyBorder="1"/>
    <xf numFmtId="164" fontId="1" fillId="2" borderId="20" xfId="0" applyNumberFormat="1" applyFont="1" applyFill="1" applyBorder="1"/>
    <xf numFmtId="164" fontId="1" fillId="2" borderId="21" xfId="0" applyNumberFormat="1" applyFont="1" applyFill="1" applyBorder="1"/>
    <xf numFmtId="0" fontId="1" fillId="3" borderId="16" xfId="0" applyFont="1" applyFill="1" applyBorder="1" applyAlignment="1">
      <alignment horizontal="center"/>
    </xf>
    <xf numFmtId="0" fontId="1" fillId="3" borderId="22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23" xfId="0" applyFont="1" applyFill="1" applyBorder="1" applyAlignment="1">
      <alignment horizontal="center"/>
    </xf>
    <xf numFmtId="0" fontId="1" fillId="0" borderId="0" xfId="0" applyFont="1"/>
    <xf numFmtId="44" fontId="1" fillId="3" borderId="0" xfId="1" applyFont="1" applyFill="1" applyProtection="1">
      <protection locked="0"/>
    </xf>
    <xf numFmtId="0" fontId="6" fillId="0" borderId="0" xfId="0" applyFont="1" applyAlignment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164" fontId="1" fillId="0" borderId="3" xfId="0" applyNumberFormat="1" applyFont="1" applyFill="1" applyBorder="1" applyProtection="1">
      <protection locked="0"/>
    </xf>
    <xf numFmtId="164" fontId="1" fillId="0" borderId="24" xfId="0" applyNumberFormat="1" applyFont="1" applyFill="1" applyBorder="1" applyProtection="1">
      <protection locked="0"/>
    </xf>
    <xf numFmtId="164" fontId="1" fillId="0" borderId="15" xfId="0" applyNumberFormat="1" applyFont="1" applyFill="1" applyBorder="1" applyProtection="1">
      <protection locked="0"/>
    </xf>
    <xf numFmtId="164" fontId="1" fillId="0" borderId="3" xfId="0" applyNumberFormat="1" applyFont="1" applyBorder="1" applyProtection="1">
      <protection locked="0"/>
    </xf>
    <xf numFmtId="164" fontId="1" fillId="0" borderId="3" xfId="0" applyNumberFormat="1" applyFont="1" applyBorder="1" applyAlignment="1" applyProtection="1">
      <alignment horizontal="center"/>
      <protection locked="0"/>
    </xf>
    <xf numFmtId="164" fontId="1" fillId="0" borderId="3" xfId="0" applyNumberFormat="1" applyFont="1" applyBorder="1" applyAlignment="1" applyProtection="1">
      <alignment horizontal="right"/>
      <protection locked="0"/>
    </xf>
    <xf numFmtId="164" fontId="1" fillId="0" borderId="15" xfId="0" applyNumberFormat="1" applyFont="1" applyBorder="1" applyProtection="1">
      <protection locked="0"/>
    </xf>
    <xf numFmtId="164" fontId="1" fillId="0" borderId="15" xfId="0" applyNumberFormat="1" applyFont="1" applyBorder="1" applyAlignment="1" applyProtection="1">
      <alignment horizontal="right"/>
      <protection locked="0"/>
    </xf>
    <xf numFmtId="49" fontId="8" fillId="2" borderId="8" xfId="0" applyNumberFormat="1" applyFont="1" applyFill="1" applyBorder="1" applyAlignment="1"/>
    <xf numFmtId="164" fontId="1" fillId="0" borderId="24" xfId="0" applyNumberFormat="1" applyFont="1" applyBorder="1" applyAlignment="1" applyProtection="1">
      <alignment horizontal="center"/>
      <protection locked="0"/>
    </xf>
    <xf numFmtId="0" fontId="0" fillId="0" borderId="25" xfId="0" applyBorder="1"/>
    <xf numFmtId="164" fontId="1" fillId="4" borderId="26" xfId="0" applyNumberFormat="1" applyFont="1" applyFill="1" applyBorder="1" applyProtection="1">
      <protection locked="0"/>
    </xf>
    <xf numFmtId="164" fontId="1" fillId="0" borderId="24" xfId="0" applyNumberFormat="1" applyFont="1" applyBorder="1" applyProtection="1">
      <protection locked="0"/>
    </xf>
    <xf numFmtId="164" fontId="1" fillId="4" borderId="26" xfId="0" applyNumberFormat="1" applyFont="1" applyFill="1" applyBorder="1"/>
    <xf numFmtId="164" fontId="0" fillId="0" borderId="24" xfId="0" applyNumberFormat="1" applyFill="1" applyBorder="1" applyProtection="1">
      <protection locked="0"/>
    </xf>
    <xf numFmtId="164" fontId="0" fillId="0" borderId="24" xfId="0" applyNumberFormat="1" applyFill="1" applyBorder="1"/>
    <xf numFmtId="164" fontId="1" fillId="2" borderId="27" xfId="0" applyNumberFormat="1" applyFont="1" applyFill="1" applyBorder="1"/>
    <xf numFmtId="0" fontId="1" fillId="3" borderId="16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vertical="center"/>
    </xf>
    <xf numFmtId="49" fontId="1" fillId="3" borderId="22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vertical="center"/>
    </xf>
    <xf numFmtId="0" fontId="1" fillId="0" borderId="0" xfId="0" applyFont="1" applyProtection="1">
      <protection locked="0"/>
    </xf>
    <xf numFmtId="0" fontId="0" fillId="0" borderId="0" xfId="0" applyAlignment="1">
      <alignment horizontal="center"/>
    </xf>
    <xf numFmtId="0" fontId="0" fillId="4" borderId="13" xfId="0" applyFont="1" applyFill="1" applyBorder="1" applyAlignment="1" applyProtection="1">
      <alignment horizontal="left"/>
      <protection locked="0"/>
    </xf>
    <xf numFmtId="0" fontId="0" fillId="4" borderId="2" xfId="0" applyFont="1" applyFill="1" applyBorder="1" applyAlignment="1" applyProtection="1">
      <alignment horizontal="left"/>
      <protection locked="0"/>
    </xf>
    <xf numFmtId="0" fontId="0" fillId="4" borderId="14" xfId="0" applyFont="1" applyFill="1" applyBorder="1" applyAlignment="1" applyProtection="1">
      <alignment horizontal="left"/>
      <protection locked="0"/>
    </xf>
    <xf numFmtId="0" fontId="0" fillId="4" borderId="11" xfId="0" applyFill="1" applyBorder="1" applyAlignment="1" applyProtection="1">
      <alignment horizontal="left"/>
      <protection locked="0"/>
    </xf>
    <xf numFmtId="0" fontId="0" fillId="4" borderId="0" xfId="0" applyFill="1" applyBorder="1" applyAlignment="1" applyProtection="1">
      <alignment horizontal="left"/>
      <protection locked="0"/>
    </xf>
    <xf numFmtId="0" fontId="0" fillId="4" borderId="12" xfId="0" applyFill="1" applyBorder="1" applyAlignment="1" applyProtection="1">
      <alignment horizontal="left"/>
      <protection locked="0"/>
    </xf>
    <xf numFmtId="0" fontId="12" fillId="4" borderId="11" xfId="0" applyFont="1" applyFill="1" applyBorder="1" applyAlignment="1" applyProtection="1">
      <alignment horizontal="left"/>
      <protection locked="0"/>
    </xf>
    <xf numFmtId="0" fontId="12" fillId="4" borderId="0" xfId="0" applyFont="1" applyFill="1" applyBorder="1" applyAlignment="1" applyProtection="1">
      <alignment horizontal="left"/>
      <protection locked="0"/>
    </xf>
    <xf numFmtId="0" fontId="12" fillId="4" borderId="12" xfId="0" applyFont="1" applyFill="1" applyBorder="1" applyAlignment="1" applyProtection="1">
      <alignment horizontal="left"/>
      <protection locked="0"/>
    </xf>
    <xf numFmtId="0" fontId="0" fillId="4" borderId="11" xfId="0" applyFont="1" applyFill="1" applyBorder="1" applyAlignment="1" applyProtection="1">
      <alignment horizontal="left"/>
      <protection locked="0"/>
    </xf>
    <xf numFmtId="0" fontId="0" fillId="4" borderId="0" xfId="0" applyFont="1" applyFill="1" applyBorder="1" applyAlignment="1" applyProtection="1">
      <alignment horizontal="left"/>
      <protection locked="0"/>
    </xf>
    <xf numFmtId="0" fontId="0" fillId="4" borderId="12" xfId="0" applyFont="1" applyFill="1" applyBorder="1" applyAlignment="1" applyProtection="1">
      <alignment horizontal="left"/>
      <protection locked="0"/>
    </xf>
    <xf numFmtId="0" fontId="4" fillId="4" borderId="9" xfId="0" applyFont="1" applyFill="1" applyBorder="1" applyAlignment="1" applyProtection="1">
      <alignment horizontal="left"/>
      <protection locked="0"/>
    </xf>
    <xf numFmtId="0" fontId="4" fillId="4" borderId="1" xfId="0" applyFont="1" applyFill="1" applyBorder="1" applyAlignment="1" applyProtection="1">
      <alignment horizontal="left"/>
      <protection locked="0"/>
    </xf>
    <xf numFmtId="0" fontId="4" fillId="4" borderId="10" xfId="0" applyFont="1" applyFill="1" applyBorder="1" applyAlignment="1" applyProtection="1">
      <alignment horizontal="left"/>
      <protection locked="0"/>
    </xf>
    <xf numFmtId="0" fontId="0" fillId="0" borderId="0" xfId="0" applyBorder="1" applyAlignment="1">
      <alignment horizontal="center"/>
    </xf>
    <xf numFmtId="0" fontId="4" fillId="4" borderId="11" xfId="0" applyFont="1" applyFill="1" applyBorder="1" applyAlignment="1" applyProtection="1">
      <alignment horizontal="left"/>
      <protection locked="0"/>
    </xf>
    <xf numFmtId="0" fontId="4" fillId="4" borderId="0" xfId="0" applyFont="1" applyFill="1" applyBorder="1" applyAlignment="1" applyProtection="1">
      <alignment horizontal="left"/>
      <protection locked="0"/>
    </xf>
    <xf numFmtId="0" fontId="4" fillId="4" borderId="12" xfId="0" applyFont="1" applyFill="1" applyBorder="1" applyAlignment="1" applyProtection="1">
      <alignment horizontal="left"/>
      <protection locked="0"/>
    </xf>
    <xf numFmtId="0" fontId="10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1" fillId="3" borderId="9" xfId="0" applyFont="1" applyFill="1" applyBorder="1" applyAlignment="1">
      <alignment horizontal="left" vertical="center"/>
    </xf>
    <xf numFmtId="0" fontId="1" fillId="3" borderId="13" xfId="0" applyFont="1" applyFill="1" applyBorder="1" applyAlignment="1">
      <alignment horizontal="left" vertical="center"/>
    </xf>
    <xf numFmtId="0" fontId="1" fillId="3" borderId="16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74"/>
  <sheetViews>
    <sheetView tabSelected="1"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K74" sqref="K74:O74"/>
    </sheetView>
  </sheetViews>
  <sheetFormatPr defaultRowHeight="15" outlineLevelCol="1" x14ac:dyDescent="0.25"/>
  <cols>
    <col min="1" max="1" width="3.7109375" customWidth="1"/>
    <col min="2" max="2" width="44.140625" bestFit="1" customWidth="1"/>
    <col min="3" max="3" width="13.28515625" bestFit="1" customWidth="1"/>
    <col min="4" max="4" width="12.5703125" bestFit="1" customWidth="1"/>
    <col min="5" max="5" width="8.140625" bestFit="1" customWidth="1"/>
    <col min="6" max="6" width="11" bestFit="1" customWidth="1"/>
    <col min="7" max="7" width="16.85546875" bestFit="1" customWidth="1"/>
    <col min="8" max="8" width="13.5703125" customWidth="1"/>
    <col min="9" max="9" width="13.140625" bestFit="1" customWidth="1"/>
    <col min="10" max="10" width="11.5703125" bestFit="1" customWidth="1"/>
    <col min="11" max="11" width="12.85546875" bestFit="1" customWidth="1"/>
    <col min="12" max="12" width="10.7109375" bestFit="1" customWidth="1"/>
    <col min="13" max="13" width="10.7109375" customWidth="1"/>
    <col min="14" max="14" width="10.140625" bestFit="1" customWidth="1"/>
    <col min="15" max="15" width="10.5703125" bestFit="1" customWidth="1"/>
    <col min="16" max="16" width="9.5703125" bestFit="1" customWidth="1"/>
    <col min="17" max="17" width="1.42578125" customWidth="1"/>
    <col min="18" max="18" width="15.85546875" hidden="1" customWidth="1" outlineLevel="1"/>
    <col min="19" max="19" width="9.140625" collapsed="1"/>
  </cols>
  <sheetData>
    <row r="1" spans="1:19" ht="16.5" x14ac:dyDescent="0.25">
      <c r="B1" s="70" t="s">
        <v>50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9" ht="16.5" x14ac:dyDescent="0.25">
      <c r="B2" s="70" t="s">
        <v>51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</row>
    <row r="3" spans="1:19" ht="4.5" customHeight="1" thickBot="1" x14ac:dyDescent="0.3"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</row>
    <row r="4" spans="1:19" ht="19.5" thickBot="1" x14ac:dyDescent="0.35">
      <c r="B4" s="36" t="s">
        <v>82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9" x14ac:dyDescent="0.25">
      <c r="B5" s="72" t="s">
        <v>49</v>
      </c>
      <c r="C5" s="74" t="s">
        <v>39</v>
      </c>
      <c r="D5" s="78" t="s">
        <v>63</v>
      </c>
      <c r="E5" s="74" t="s">
        <v>40</v>
      </c>
      <c r="F5" s="74" t="s">
        <v>64</v>
      </c>
      <c r="G5" s="45" t="s">
        <v>65</v>
      </c>
      <c r="H5" s="46" t="s">
        <v>67</v>
      </c>
      <c r="I5" s="20" t="s">
        <v>52</v>
      </c>
      <c r="J5" s="8" t="s">
        <v>73</v>
      </c>
      <c r="K5" s="20" t="s">
        <v>41</v>
      </c>
      <c r="L5" s="76" t="s">
        <v>43</v>
      </c>
      <c r="M5" s="74" t="s">
        <v>44</v>
      </c>
      <c r="N5" s="20" t="s">
        <v>45</v>
      </c>
      <c r="O5" s="8" t="s">
        <v>47</v>
      </c>
      <c r="P5" s="22" t="s">
        <v>41</v>
      </c>
    </row>
    <row r="6" spans="1:19" ht="15.75" thickBot="1" x14ac:dyDescent="0.3">
      <c r="B6" s="73"/>
      <c r="C6" s="75"/>
      <c r="D6" s="79"/>
      <c r="E6" s="75"/>
      <c r="F6" s="75"/>
      <c r="G6" s="47" t="s">
        <v>66</v>
      </c>
      <c r="H6" s="48" t="s">
        <v>54</v>
      </c>
      <c r="I6" s="21" t="s">
        <v>53</v>
      </c>
      <c r="J6" s="9" t="s">
        <v>74</v>
      </c>
      <c r="K6" s="21" t="s">
        <v>42</v>
      </c>
      <c r="L6" s="77"/>
      <c r="M6" s="75"/>
      <c r="N6" s="21" t="s">
        <v>46</v>
      </c>
      <c r="O6" s="9" t="s">
        <v>46</v>
      </c>
      <c r="P6" s="23" t="s">
        <v>48</v>
      </c>
    </row>
    <row r="7" spans="1:19" x14ac:dyDescent="0.25">
      <c r="A7" s="50">
        <v>1</v>
      </c>
      <c r="B7" s="16" t="s">
        <v>0</v>
      </c>
      <c r="C7" s="14">
        <v>5695.46</v>
      </c>
      <c r="D7" s="28"/>
      <c r="E7" s="31"/>
      <c r="F7" s="31"/>
      <c r="G7" s="31"/>
      <c r="H7" s="31"/>
      <c r="I7" s="32"/>
      <c r="J7" s="32"/>
      <c r="K7" s="12">
        <f t="shared" ref="K7:K14" si="0">SUM(C7:I7)</f>
        <v>5695.46</v>
      </c>
      <c r="L7" s="3">
        <v>522.66999999999996</v>
      </c>
      <c r="M7" s="3">
        <v>633.54</v>
      </c>
      <c r="N7" s="2">
        <f t="shared" ref="N7:N13" si="1">K7-L7-M7-R7</f>
        <v>41.409999999999854</v>
      </c>
      <c r="O7" s="2">
        <f t="shared" ref="O7:O59" si="2">SUM(L7:N7)</f>
        <v>1197.6199999999999</v>
      </c>
      <c r="P7" s="18">
        <f t="shared" ref="P7:P59" si="3">SUM(K7-O7)</f>
        <v>4497.84</v>
      </c>
      <c r="Q7" s="24"/>
      <c r="R7" s="25">
        <v>4497.84</v>
      </c>
    </row>
    <row r="8" spans="1:19" x14ac:dyDescent="0.25">
      <c r="A8" s="50">
        <v>2</v>
      </c>
      <c r="B8" s="16" t="s">
        <v>1</v>
      </c>
      <c r="C8" s="14">
        <v>2732.69</v>
      </c>
      <c r="D8" s="28"/>
      <c r="E8" s="31"/>
      <c r="F8" s="31"/>
      <c r="G8" s="31"/>
      <c r="H8" s="31"/>
      <c r="I8" s="32"/>
      <c r="J8" s="32"/>
      <c r="K8" s="12">
        <f t="shared" si="0"/>
        <v>2732.69</v>
      </c>
      <c r="L8" s="3">
        <v>30.16</v>
      </c>
      <c r="M8" s="3">
        <v>236.92</v>
      </c>
      <c r="N8" s="2">
        <f t="shared" si="1"/>
        <v>1372.38</v>
      </c>
      <c r="O8" s="2">
        <f t="shared" si="2"/>
        <v>1639.46</v>
      </c>
      <c r="P8" s="18">
        <f t="shared" si="3"/>
        <v>1093.23</v>
      </c>
      <c r="Q8" s="24"/>
      <c r="R8" s="25">
        <v>1093.23</v>
      </c>
    </row>
    <row r="9" spans="1:19" x14ac:dyDescent="0.25">
      <c r="A9" s="50">
        <v>3</v>
      </c>
      <c r="B9" s="16" t="s">
        <v>58</v>
      </c>
      <c r="C9" s="14">
        <f>1694.01+111.57</f>
        <v>1805.58</v>
      </c>
      <c r="D9" s="28">
        <v>1213.54</v>
      </c>
      <c r="E9" s="31"/>
      <c r="F9" s="31">
        <f>219.05+338.8+22.31+193.39</f>
        <v>773.55</v>
      </c>
      <c r="G9" s="31"/>
      <c r="H9" s="31"/>
      <c r="I9" s="32"/>
      <c r="J9" s="32"/>
      <c r="K9" s="12">
        <f t="shared" si="0"/>
        <v>3792.67</v>
      </c>
      <c r="L9" s="3">
        <v>60.45</v>
      </c>
      <c r="M9" s="3">
        <v>309.13</v>
      </c>
      <c r="N9" s="2">
        <f t="shared" si="1"/>
        <v>878.06</v>
      </c>
      <c r="O9" s="2">
        <f t="shared" si="2"/>
        <v>1247.6399999999999</v>
      </c>
      <c r="P9" s="18">
        <f t="shared" si="3"/>
        <v>2545.0300000000002</v>
      </c>
      <c r="Q9" s="24"/>
      <c r="R9" s="25">
        <v>2545.0300000000002</v>
      </c>
    </row>
    <row r="10" spans="1:19" x14ac:dyDescent="0.25">
      <c r="A10" s="50">
        <v>4</v>
      </c>
      <c r="B10" s="16" t="s">
        <v>77</v>
      </c>
      <c r="C10" s="14">
        <v>4170</v>
      </c>
      <c r="D10" s="28">
        <v>834</v>
      </c>
      <c r="E10" s="31"/>
      <c r="F10" s="31"/>
      <c r="G10" s="31"/>
      <c r="H10" s="31"/>
      <c r="I10" s="32"/>
      <c r="J10" s="32"/>
      <c r="K10" s="12">
        <f t="shared" ref="K10" si="4">SUM(C10:I10)</f>
        <v>5004</v>
      </c>
      <c r="L10" s="3">
        <v>369.01</v>
      </c>
      <c r="M10" s="3">
        <v>536.73</v>
      </c>
      <c r="N10" s="2">
        <f t="shared" ref="N10" si="5">K10-L10-M10-R10</f>
        <v>41.410000000000309</v>
      </c>
      <c r="O10" s="2">
        <f t="shared" ref="O10" si="6">SUM(L10:N10)</f>
        <v>947.15000000000032</v>
      </c>
      <c r="P10" s="18">
        <f t="shared" ref="P10" si="7">SUM(K10-O10)</f>
        <v>4056.8499999999995</v>
      </c>
      <c r="Q10" s="24"/>
      <c r="R10" s="25">
        <v>4056.85</v>
      </c>
    </row>
    <row r="11" spans="1:19" x14ac:dyDescent="0.25">
      <c r="A11" s="50">
        <v>5</v>
      </c>
      <c r="B11" s="16" t="s">
        <v>2</v>
      </c>
      <c r="C11" s="14">
        <v>2937</v>
      </c>
      <c r="D11" s="28"/>
      <c r="E11" s="31"/>
      <c r="F11" s="31"/>
      <c r="G11" s="31"/>
      <c r="H11" s="31"/>
      <c r="I11" s="32"/>
      <c r="J11" s="32"/>
      <c r="K11" s="12">
        <f t="shared" si="0"/>
        <v>2937</v>
      </c>
      <c r="L11" s="3">
        <v>57.87</v>
      </c>
      <c r="M11" s="3">
        <v>261.43</v>
      </c>
      <c r="N11" s="2">
        <f t="shared" si="1"/>
        <v>415.97000000000025</v>
      </c>
      <c r="O11" s="2">
        <f t="shared" si="2"/>
        <v>735.27000000000021</v>
      </c>
      <c r="P11" s="18">
        <f>SUM(K11-O11)+H11</f>
        <v>2201.7299999999996</v>
      </c>
      <c r="Q11" s="24"/>
      <c r="R11" s="25">
        <v>2201.73</v>
      </c>
      <c r="S11" s="1"/>
    </row>
    <row r="12" spans="1:19" x14ac:dyDescent="0.25">
      <c r="A12" s="50">
        <v>6</v>
      </c>
      <c r="B12" s="16" t="s">
        <v>3</v>
      </c>
      <c r="C12" s="14">
        <v>3911.15</v>
      </c>
      <c r="D12" s="28"/>
      <c r="E12" s="31"/>
      <c r="F12" s="31"/>
      <c r="G12" s="31"/>
      <c r="H12" s="31"/>
      <c r="I12" s="32"/>
      <c r="J12" s="32"/>
      <c r="K12" s="12">
        <f t="shared" si="0"/>
        <v>3911.15</v>
      </c>
      <c r="L12" s="3">
        <v>174.31</v>
      </c>
      <c r="M12" s="3">
        <v>383.73</v>
      </c>
      <c r="N12" s="2">
        <f t="shared" si="1"/>
        <v>1208.7000000000003</v>
      </c>
      <c r="O12" s="2">
        <f t="shared" si="2"/>
        <v>1766.7400000000002</v>
      </c>
      <c r="P12" s="18">
        <f t="shared" si="3"/>
        <v>2144.41</v>
      </c>
      <c r="Q12" s="24"/>
      <c r="R12" s="25">
        <v>2144.41</v>
      </c>
    </row>
    <row r="13" spans="1:19" x14ac:dyDescent="0.25">
      <c r="A13" s="50">
        <v>7</v>
      </c>
      <c r="B13" s="16" t="s">
        <v>75</v>
      </c>
      <c r="C13" s="14">
        <v>4220.04</v>
      </c>
      <c r="D13" s="28">
        <v>834</v>
      </c>
      <c r="E13" s="31"/>
      <c r="F13" s="31"/>
      <c r="G13" s="31"/>
      <c r="H13" s="31"/>
      <c r="I13" s="32"/>
      <c r="J13" s="32"/>
      <c r="K13" s="12">
        <f t="shared" si="0"/>
        <v>5054.04</v>
      </c>
      <c r="L13" s="3">
        <v>378.69</v>
      </c>
      <c r="M13" s="3">
        <v>543.74</v>
      </c>
      <c r="N13" s="2">
        <f t="shared" si="1"/>
        <v>6.4700000000002547</v>
      </c>
      <c r="O13" s="2">
        <f t="shared" si="2"/>
        <v>928.90000000000032</v>
      </c>
      <c r="P13" s="18">
        <f t="shared" si="3"/>
        <v>4125.1399999999994</v>
      </c>
      <c r="Q13" s="24"/>
      <c r="R13" s="25">
        <v>4125.1400000000003</v>
      </c>
    </row>
    <row r="14" spans="1:19" x14ac:dyDescent="0.25">
      <c r="A14" s="50">
        <v>8</v>
      </c>
      <c r="B14" s="16" t="s">
        <v>4</v>
      </c>
      <c r="C14" s="14">
        <f>12496.24+6560.53</f>
        <v>19056.77</v>
      </c>
      <c r="D14" s="28">
        <f>1249.62+118.29+4998.5</f>
        <v>6366.41</v>
      </c>
      <c r="E14" s="31"/>
      <c r="F14" s="31"/>
      <c r="G14" s="31"/>
      <c r="H14" s="31"/>
      <c r="I14" s="32"/>
      <c r="J14" s="32"/>
      <c r="K14" s="12">
        <f t="shared" si="0"/>
        <v>25423.18</v>
      </c>
      <c r="L14" s="3">
        <v>5894.21</v>
      </c>
      <c r="M14" s="3">
        <f>56.8+771.58</f>
        <v>828.38</v>
      </c>
      <c r="N14" s="2">
        <f>K14-L14-M14-R14</f>
        <v>336.68000000000029</v>
      </c>
      <c r="O14" s="2">
        <f t="shared" si="2"/>
        <v>7059.27</v>
      </c>
      <c r="P14" s="18">
        <f t="shared" si="3"/>
        <v>18363.91</v>
      </c>
      <c r="Q14" s="24"/>
      <c r="R14" s="25">
        <v>18363.91</v>
      </c>
    </row>
    <row r="15" spans="1:19" x14ac:dyDescent="0.25">
      <c r="A15" s="50">
        <v>9</v>
      </c>
      <c r="B15" s="16" t="s">
        <v>5</v>
      </c>
      <c r="C15" s="14">
        <f>9996.99+3219.03</f>
        <v>13216.02</v>
      </c>
      <c r="D15" s="28">
        <v>3998.8</v>
      </c>
      <c r="E15" s="31"/>
      <c r="F15" s="31">
        <f>2499.25+804.76+1434.57+999.7</f>
        <v>5738.28</v>
      </c>
      <c r="G15" s="31"/>
      <c r="H15" s="31">
        <f>6248.12+2011.9+2499.25</f>
        <v>10759.27</v>
      </c>
      <c r="I15" s="32"/>
      <c r="J15" s="32"/>
      <c r="K15" s="12">
        <f t="shared" ref="K15:K31" si="8">SUM(C15:I15)</f>
        <v>33712.369999999995</v>
      </c>
      <c r="L15" s="3">
        <f>532.8+3812.78</f>
        <v>4345.58</v>
      </c>
      <c r="M15" s="3">
        <v>828.38</v>
      </c>
      <c r="N15" s="2">
        <f t="shared" ref="N15:N40" si="9">K15-L15-M15-R15</f>
        <v>15432.769999999993</v>
      </c>
      <c r="O15" s="2">
        <f t="shared" si="2"/>
        <v>20606.729999999992</v>
      </c>
      <c r="P15" s="18">
        <f t="shared" si="3"/>
        <v>13105.640000000003</v>
      </c>
      <c r="Q15" s="24"/>
      <c r="R15" s="25">
        <v>13105.64</v>
      </c>
    </row>
    <row r="16" spans="1:19" x14ac:dyDescent="0.25">
      <c r="A16" s="50">
        <v>10</v>
      </c>
      <c r="B16" s="16" t="s">
        <v>6</v>
      </c>
      <c r="C16" s="14">
        <f>1405.57+126.5</f>
        <v>1532.07</v>
      </c>
      <c r="D16" s="28"/>
      <c r="E16" s="31"/>
      <c r="F16" s="49">
        <f>1074.85+96.74+390.53</f>
        <v>1562.12</v>
      </c>
      <c r="G16" s="4"/>
      <c r="H16" s="31">
        <f>1240.21+111.62</f>
        <v>1351.83</v>
      </c>
      <c r="I16" s="32"/>
      <c r="J16" s="32"/>
      <c r="K16" s="12">
        <f t="shared" si="8"/>
        <v>4446.0199999999995</v>
      </c>
      <c r="L16" s="3"/>
      <c r="M16" s="3">
        <f>155.47+124.83</f>
        <v>280.3</v>
      </c>
      <c r="N16" s="2">
        <f t="shared" si="9"/>
        <v>2807.7099999999991</v>
      </c>
      <c r="O16" s="2">
        <f t="shared" si="2"/>
        <v>3088.0099999999993</v>
      </c>
      <c r="P16" s="18">
        <f t="shared" si="3"/>
        <v>1358.0100000000002</v>
      </c>
      <c r="Q16" s="24"/>
      <c r="R16" s="25">
        <v>1358.01</v>
      </c>
    </row>
    <row r="17" spans="1:18" x14ac:dyDescent="0.25">
      <c r="A17" s="50">
        <v>11</v>
      </c>
      <c r="B17" s="16" t="s">
        <v>7</v>
      </c>
      <c r="C17" s="14">
        <v>2514.2800000000002</v>
      </c>
      <c r="D17" s="28"/>
      <c r="E17" s="31"/>
      <c r="F17" s="31"/>
      <c r="G17" s="31"/>
      <c r="H17" s="31"/>
      <c r="I17" s="32"/>
      <c r="J17" s="32"/>
      <c r="K17" s="12">
        <f t="shared" si="8"/>
        <v>2514.2800000000002</v>
      </c>
      <c r="L17" s="3">
        <v>29.97</v>
      </c>
      <c r="M17" s="3">
        <v>210.71</v>
      </c>
      <c r="N17" s="2">
        <f t="shared" si="9"/>
        <v>64.130000000000564</v>
      </c>
      <c r="O17" s="2">
        <f t="shared" si="2"/>
        <v>304.81000000000057</v>
      </c>
      <c r="P17" s="18">
        <f t="shared" si="3"/>
        <v>2209.4699999999998</v>
      </c>
      <c r="Q17" s="24"/>
      <c r="R17" s="25">
        <v>2209.4699999999998</v>
      </c>
    </row>
    <row r="18" spans="1:18" x14ac:dyDescent="0.25">
      <c r="A18" s="50">
        <v>12</v>
      </c>
      <c r="B18" s="16" t="s">
        <v>61</v>
      </c>
      <c r="C18" s="14">
        <f>2891.98+86.76</f>
        <v>2978.7400000000002</v>
      </c>
      <c r="D18" s="28"/>
      <c r="E18" s="31"/>
      <c r="F18" s="31"/>
      <c r="G18" s="31"/>
      <c r="H18" s="31"/>
      <c r="I18" s="32"/>
      <c r="J18" s="32"/>
      <c r="K18" s="12">
        <f t="shared" si="8"/>
        <v>2978.7400000000002</v>
      </c>
      <c r="L18" s="3">
        <v>46.4</v>
      </c>
      <c r="M18" s="3">
        <v>266.44</v>
      </c>
      <c r="N18" s="2">
        <f t="shared" si="9"/>
        <v>6.4700000000002547</v>
      </c>
      <c r="O18" s="2">
        <f t="shared" si="2"/>
        <v>319.31000000000023</v>
      </c>
      <c r="P18" s="18">
        <f t="shared" si="3"/>
        <v>2659.43</v>
      </c>
      <c r="Q18" s="24"/>
      <c r="R18" s="25">
        <v>2659.43</v>
      </c>
    </row>
    <row r="19" spans="1:18" x14ac:dyDescent="0.25">
      <c r="A19" s="50">
        <v>13</v>
      </c>
      <c r="B19" s="16" t="s">
        <v>8</v>
      </c>
      <c r="C19" s="14">
        <f>5294.79+1188.51</f>
        <v>6483.3</v>
      </c>
      <c r="D19" s="28">
        <v>2628.59</v>
      </c>
      <c r="E19" s="31"/>
      <c r="F19" s="31"/>
      <c r="G19" s="31"/>
      <c r="H19" s="31"/>
      <c r="I19" s="32"/>
      <c r="J19" s="32"/>
      <c r="K19" s="12">
        <f t="shared" si="8"/>
        <v>9111.89</v>
      </c>
      <c r="L19" s="3">
        <v>1252.19</v>
      </c>
      <c r="M19" s="3">
        <v>828.38</v>
      </c>
      <c r="N19" s="2">
        <f t="shared" si="9"/>
        <v>563.5099999999984</v>
      </c>
      <c r="O19" s="2">
        <f t="shared" si="2"/>
        <v>2644.0799999999986</v>
      </c>
      <c r="P19" s="18">
        <f t="shared" si="3"/>
        <v>6467.8100000000013</v>
      </c>
      <c r="Q19" s="24"/>
      <c r="R19" s="25">
        <v>6467.81</v>
      </c>
    </row>
    <row r="20" spans="1:18" x14ac:dyDescent="0.25">
      <c r="A20" s="50">
        <v>14</v>
      </c>
      <c r="B20" s="16" t="s">
        <v>9</v>
      </c>
      <c r="C20" s="14">
        <v>2728.46</v>
      </c>
      <c r="D20" s="28"/>
      <c r="E20" s="31"/>
      <c r="F20" s="31"/>
      <c r="G20" s="31"/>
      <c r="H20" s="31"/>
      <c r="I20" s="32"/>
      <c r="J20" s="32"/>
      <c r="K20" s="12">
        <f t="shared" si="8"/>
        <v>2728.46</v>
      </c>
      <c r="L20" s="3">
        <v>44.1</v>
      </c>
      <c r="M20" s="3">
        <v>236.41</v>
      </c>
      <c r="N20" s="2">
        <f t="shared" si="9"/>
        <v>6.4700000000002547</v>
      </c>
      <c r="O20" s="2">
        <f t="shared" si="2"/>
        <v>286.98000000000025</v>
      </c>
      <c r="P20" s="18">
        <f t="shared" si="3"/>
        <v>2441.4799999999996</v>
      </c>
      <c r="Q20" s="24"/>
      <c r="R20" s="25">
        <v>2441.48</v>
      </c>
    </row>
    <row r="21" spans="1:18" x14ac:dyDescent="0.25">
      <c r="A21" s="50">
        <v>15</v>
      </c>
      <c r="B21" s="16" t="s">
        <v>10</v>
      </c>
      <c r="C21" s="14">
        <f>13666.95+8029.33</f>
        <v>21696.28</v>
      </c>
      <c r="D21" s="28">
        <v>18450.38</v>
      </c>
      <c r="E21" s="31"/>
      <c r="F21" s="31"/>
      <c r="G21" s="31"/>
      <c r="H21" s="31"/>
      <c r="I21" s="32"/>
      <c r="J21" s="32"/>
      <c r="K21" s="12">
        <f t="shared" si="8"/>
        <v>40146.660000000003</v>
      </c>
      <c r="L21" s="3">
        <v>9708.5</v>
      </c>
      <c r="M21" s="3">
        <v>828.38</v>
      </c>
      <c r="N21" s="2">
        <f t="shared" si="9"/>
        <v>1153.5900000000038</v>
      </c>
      <c r="O21" s="2">
        <f t="shared" si="2"/>
        <v>11690.470000000003</v>
      </c>
      <c r="P21" s="18">
        <f t="shared" si="3"/>
        <v>28456.190000000002</v>
      </c>
      <c r="Q21" s="24"/>
      <c r="R21" s="25">
        <v>28456.19</v>
      </c>
    </row>
    <row r="22" spans="1:18" x14ac:dyDescent="0.25">
      <c r="A22" s="50">
        <v>16</v>
      </c>
      <c r="B22" s="16" t="s">
        <v>11</v>
      </c>
      <c r="C22" s="14">
        <f>12496.24+4198.74</f>
        <v>16694.98</v>
      </c>
      <c r="D22" s="28">
        <v>2499.25</v>
      </c>
      <c r="E22" s="31"/>
      <c r="F22" s="31"/>
      <c r="G22" s="31"/>
      <c r="H22" s="31"/>
      <c r="I22" s="32"/>
      <c r="J22" s="32"/>
      <c r="K22" s="12">
        <f t="shared" si="8"/>
        <v>19194.23</v>
      </c>
      <c r="L22" s="3">
        <v>4129.1099999999997</v>
      </c>
      <c r="M22" s="3">
        <v>828.38</v>
      </c>
      <c r="N22" s="2">
        <f t="shared" si="9"/>
        <v>2326.09</v>
      </c>
      <c r="O22" s="2">
        <f t="shared" si="2"/>
        <v>7283.58</v>
      </c>
      <c r="P22" s="18">
        <f t="shared" si="3"/>
        <v>11910.65</v>
      </c>
      <c r="Q22" s="24"/>
      <c r="R22" s="25">
        <v>11910.65</v>
      </c>
    </row>
    <row r="23" spans="1:18" x14ac:dyDescent="0.25">
      <c r="A23" s="50">
        <v>17</v>
      </c>
      <c r="B23" s="16" t="s">
        <v>12</v>
      </c>
      <c r="C23" s="14">
        <v>6817.99</v>
      </c>
      <c r="D23" s="28"/>
      <c r="E23" s="31"/>
      <c r="F23" s="31"/>
      <c r="G23" s="31"/>
      <c r="H23" s="31"/>
      <c r="I23" s="32"/>
      <c r="J23" s="32"/>
      <c r="K23" s="12">
        <f t="shared" si="8"/>
        <v>6817.99</v>
      </c>
      <c r="L23" s="3">
        <v>683.87</v>
      </c>
      <c r="M23" s="3">
        <v>790.69</v>
      </c>
      <c r="N23" s="2">
        <f t="shared" si="9"/>
        <v>1908.2600000000002</v>
      </c>
      <c r="O23" s="2">
        <f t="shared" si="2"/>
        <v>3382.82</v>
      </c>
      <c r="P23" s="18">
        <f t="shared" si="3"/>
        <v>3435.1699999999996</v>
      </c>
      <c r="Q23" s="24"/>
      <c r="R23" s="25">
        <v>3435.17</v>
      </c>
    </row>
    <row r="24" spans="1:18" x14ac:dyDescent="0.25">
      <c r="A24" s="50">
        <v>18</v>
      </c>
      <c r="B24" s="16" t="s">
        <v>72</v>
      </c>
      <c r="C24" s="14">
        <f>1953.49+19.53</f>
        <v>1973.02</v>
      </c>
      <c r="D24" s="28"/>
      <c r="E24" s="31"/>
      <c r="F24" s="31"/>
      <c r="G24" s="31"/>
      <c r="H24" s="31"/>
      <c r="I24" s="32"/>
      <c r="J24" s="32"/>
      <c r="K24" s="12">
        <f t="shared" si="8"/>
        <v>1973.02</v>
      </c>
      <c r="L24" s="3"/>
      <c r="M24" s="3">
        <v>165.3</v>
      </c>
      <c r="N24" s="2">
        <f t="shared" ref="N24" si="10">K24-L24-M24-R24</f>
        <v>0.55999999999994543</v>
      </c>
      <c r="O24" s="2">
        <f t="shared" ref="O24" si="11">SUM(L24:N24)</f>
        <v>165.85999999999996</v>
      </c>
      <c r="P24" s="18">
        <f t="shared" ref="P24" si="12">SUM(K24-O24)</f>
        <v>1807.16</v>
      </c>
      <c r="Q24" s="24"/>
      <c r="R24" s="25">
        <v>1807.16</v>
      </c>
    </row>
    <row r="25" spans="1:18" x14ac:dyDescent="0.25">
      <c r="A25" s="50">
        <v>19</v>
      </c>
      <c r="B25" s="16" t="s">
        <v>55</v>
      </c>
      <c r="C25" s="14">
        <f>3009.41+120.38</f>
        <v>3129.79</v>
      </c>
      <c r="D25" s="28">
        <v>118.29</v>
      </c>
      <c r="E25" s="31"/>
      <c r="F25" s="31"/>
      <c r="G25" s="31"/>
      <c r="H25" s="31"/>
      <c r="I25" s="32"/>
      <c r="J25" s="32"/>
      <c r="K25" s="12">
        <f t="shared" si="8"/>
        <v>3248.08</v>
      </c>
      <c r="L25" s="3">
        <v>87.6</v>
      </c>
      <c r="M25" s="3">
        <v>298.76</v>
      </c>
      <c r="N25" s="2">
        <f t="shared" si="9"/>
        <v>31.430000000000291</v>
      </c>
      <c r="O25" s="2">
        <f t="shared" si="2"/>
        <v>417.7900000000003</v>
      </c>
      <c r="P25" s="18">
        <f t="shared" si="3"/>
        <v>2830.2899999999995</v>
      </c>
      <c r="Q25" s="24"/>
      <c r="R25" s="25">
        <v>2830.29</v>
      </c>
    </row>
    <row r="26" spans="1:18" x14ac:dyDescent="0.25">
      <c r="A26" s="50">
        <v>20</v>
      </c>
      <c r="B26" s="16" t="s">
        <v>81</v>
      </c>
      <c r="C26" s="14">
        <f>12496.24+4198.74</f>
        <v>16694.98</v>
      </c>
      <c r="D26" s="28">
        <v>2499.25</v>
      </c>
      <c r="E26" s="31"/>
      <c r="F26" s="31"/>
      <c r="G26" s="31"/>
      <c r="H26" s="31"/>
      <c r="I26" s="32"/>
      <c r="J26" s="32"/>
      <c r="K26" s="12">
        <f t="shared" si="8"/>
        <v>19194.23</v>
      </c>
      <c r="L26" s="3">
        <v>4129.1099999999997</v>
      </c>
      <c r="M26" s="3">
        <v>828.38</v>
      </c>
      <c r="N26" s="2">
        <f t="shared" si="9"/>
        <v>4604.2700000000004</v>
      </c>
      <c r="O26" s="2">
        <f t="shared" si="2"/>
        <v>9561.76</v>
      </c>
      <c r="P26" s="18">
        <f t="shared" si="3"/>
        <v>9632.4699999999993</v>
      </c>
      <c r="Q26" s="24"/>
      <c r="R26" s="25">
        <v>9632.4699999999993</v>
      </c>
    </row>
    <row r="27" spans="1:18" x14ac:dyDescent="0.25">
      <c r="A27" s="50">
        <v>21</v>
      </c>
      <c r="B27" s="16" t="s">
        <v>13</v>
      </c>
      <c r="C27" s="14">
        <v>7202.88</v>
      </c>
      <c r="D27" s="28"/>
      <c r="E27" s="31"/>
      <c r="F27" s="31"/>
      <c r="G27" s="31"/>
      <c r="H27" s="31"/>
      <c r="I27" s="32"/>
      <c r="J27" s="32"/>
      <c r="K27" s="12">
        <f t="shared" si="8"/>
        <v>7202.88</v>
      </c>
      <c r="L27" s="3">
        <v>779.35</v>
      </c>
      <c r="M27" s="3">
        <v>828.38</v>
      </c>
      <c r="N27" s="2">
        <f t="shared" si="9"/>
        <v>339.21000000000004</v>
      </c>
      <c r="O27" s="2">
        <f t="shared" si="2"/>
        <v>1946.94</v>
      </c>
      <c r="P27" s="18">
        <f>SUM(K27-O27)+H27</f>
        <v>5255.9400000000005</v>
      </c>
      <c r="Q27" s="24"/>
      <c r="R27" s="25">
        <v>5255.94</v>
      </c>
    </row>
    <row r="28" spans="1:18" x14ac:dyDescent="0.25">
      <c r="A28" s="50">
        <v>22</v>
      </c>
      <c r="B28" s="16" t="s">
        <v>14</v>
      </c>
      <c r="C28" s="14">
        <v>7904.52</v>
      </c>
      <c r="D28" s="28"/>
      <c r="E28" s="31"/>
      <c r="F28" s="31"/>
      <c r="G28" s="31"/>
      <c r="H28" s="31"/>
      <c r="I28" s="32"/>
      <c r="J28" s="32"/>
      <c r="K28" s="12">
        <f t="shared" si="8"/>
        <v>7904.52</v>
      </c>
      <c r="L28" s="3">
        <v>1076.58</v>
      </c>
      <c r="M28" s="3">
        <v>828.38</v>
      </c>
      <c r="N28" s="2">
        <f t="shared" si="9"/>
        <v>6.4700000000002547</v>
      </c>
      <c r="O28" s="2">
        <f t="shared" si="2"/>
        <v>1911.4300000000003</v>
      </c>
      <c r="P28" s="18">
        <f t="shared" si="3"/>
        <v>5993.09</v>
      </c>
      <c r="Q28" s="24"/>
      <c r="R28" s="25">
        <v>5993.09</v>
      </c>
    </row>
    <row r="29" spans="1:18" x14ac:dyDescent="0.25">
      <c r="A29" s="50">
        <v>23</v>
      </c>
      <c r="B29" s="16" t="s">
        <v>15</v>
      </c>
      <c r="C29" s="14">
        <f>1925.98+192.6</f>
        <v>2118.58</v>
      </c>
      <c r="D29" s="28"/>
      <c r="E29" s="31"/>
      <c r="F29" s="31">
        <f>481.5+48.15+176.55</f>
        <v>706.2</v>
      </c>
      <c r="G29" s="31"/>
      <c r="H29" s="31">
        <f>1203.73+120.37</f>
        <v>1324.1</v>
      </c>
      <c r="I29" s="32"/>
      <c r="J29" s="32"/>
      <c r="K29" s="12">
        <f t="shared" si="8"/>
        <v>4148.8799999999992</v>
      </c>
      <c r="L29" s="3"/>
      <c r="M29" s="3">
        <f>193.5+54.47</f>
        <v>247.97</v>
      </c>
      <c r="N29" s="2">
        <f t="shared" si="9"/>
        <v>2763.7299999999996</v>
      </c>
      <c r="O29" s="2">
        <f t="shared" si="2"/>
        <v>3011.6999999999994</v>
      </c>
      <c r="P29" s="18">
        <f t="shared" si="3"/>
        <v>1137.1799999999998</v>
      </c>
      <c r="Q29" s="24"/>
      <c r="R29" s="25">
        <v>1137.18</v>
      </c>
    </row>
    <row r="30" spans="1:18" x14ac:dyDescent="0.25">
      <c r="A30" s="50">
        <v>24</v>
      </c>
      <c r="B30" s="16" t="s">
        <v>16</v>
      </c>
      <c r="C30" s="14">
        <f>4543.17+1288.64</f>
        <v>5831.81</v>
      </c>
      <c r="D30" s="28">
        <v>1314.3</v>
      </c>
      <c r="E30" s="31"/>
      <c r="F30" s="31"/>
      <c r="G30" s="31"/>
      <c r="H30" s="31"/>
      <c r="I30" s="32"/>
      <c r="J30" s="32"/>
      <c r="K30" s="12">
        <f t="shared" si="8"/>
        <v>7146.1100000000006</v>
      </c>
      <c r="L30" s="3">
        <v>763.74</v>
      </c>
      <c r="M30" s="3">
        <f>370.73+457.65</f>
        <v>828.38</v>
      </c>
      <c r="N30" s="2">
        <f t="shared" si="9"/>
        <v>723.83000000000084</v>
      </c>
      <c r="O30" s="2">
        <f t="shared" si="2"/>
        <v>2315.9500000000007</v>
      </c>
      <c r="P30" s="18">
        <f t="shared" si="3"/>
        <v>4830.16</v>
      </c>
      <c r="Q30" s="24"/>
      <c r="R30" s="25">
        <v>4830.16</v>
      </c>
    </row>
    <row r="31" spans="1:18" x14ac:dyDescent="0.25">
      <c r="A31" s="50">
        <v>25</v>
      </c>
      <c r="B31" s="16" t="s">
        <v>17</v>
      </c>
      <c r="C31" s="14">
        <v>6653.43</v>
      </c>
      <c r="D31" s="28"/>
      <c r="E31" s="31"/>
      <c r="F31" s="31"/>
      <c r="G31" s="31"/>
      <c r="H31" s="31"/>
      <c r="I31" s="32"/>
      <c r="J31" s="32"/>
      <c r="K31" s="12">
        <f t="shared" si="8"/>
        <v>6653.43</v>
      </c>
      <c r="L31" s="3">
        <v>749.23</v>
      </c>
      <c r="M31" s="3">
        <v>767.65</v>
      </c>
      <c r="N31" s="2">
        <f t="shared" si="9"/>
        <v>251.08000000000084</v>
      </c>
      <c r="O31" s="2">
        <f t="shared" si="2"/>
        <v>1767.9600000000009</v>
      </c>
      <c r="P31" s="18">
        <f t="shared" si="3"/>
        <v>4885.4699999999993</v>
      </c>
      <c r="Q31" s="24"/>
      <c r="R31" s="25">
        <v>4885.47</v>
      </c>
    </row>
    <row r="32" spans="1:18" x14ac:dyDescent="0.25">
      <c r="A32" s="50">
        <v>26</v>
      </c>
      <c r="B32" s="16" t="s">
        <v>59</v>
      </c>
      <c r="C32" s="14">
        <f>2991.71+89.75</f>
        <v>3081.46</v>
      </c>
      <c r="D32" s="28"/>
      <c r="E32" s="31"/>
      <c r="F32" s="31">
        <f>1732.05+51.96+594.67</f>
        <v>2378.6799999999998</v>
      </c>
      <c r="G32" s="31"/>
      <c r="H32" s="31"/>
      <c r="I32" s="32"/>
      <c r="J32" s="32"/>
      <c r="K32" s="12">
        <f>SUM(C32:I32)</f>
        <v>5460.1399999999994</v>
      </c>
      <c r="L32" s="3">
        <f>57.96+20.91</f>
        <v>78.87</v>
      </c>
      <c r="M32" s="3">
        <f>404.69+195.9</f>
        <v>600.59</v>
      </c>
      <c r="N32" s="2">
        <f t="shared" ref="N32" si="13">K32-L32-M32-R32</f>
        <v>2203.2799999999993</v>
      </c>
      <c r="O32" s="2">
        <f t="shared" ref="O32" si="14">SUM(L32:N32)</f>
        <v>2882.7399999999993</v>
      </c>
      <c r="P32" s="18">
        <f>SUM(K32-O32)+H32</f>
        <v>2577.4</v>
      </c>
      <c r="Q32" s="24"/>
      <c r="R32" s="25">
        <v>2577.4</v>
      </c>
    </row>
    <row r="33" spans="1:18" x14ac:dyDescent="0.25">
      <c r="A33" s="50">
        <v>27</v>
      </c>
      <c r="B33" s="16" t="s">
        <v>18</v>
      </c>
      <c r="C33" s="14">
        <v>2344.27</v>
      </c>
      <c r="D33" s="28"/>
      <c r="E33" s="31"/>
      <c r="F33" s="31"/>
      <c r="G33" s="31"/>
      <c r="H33" s="31"/>
      <c r="I33" s="32"/>
      <c r="J33" s="32"/>
      <c r="K33" s="12">
        <f>SUM(C33:I33)</f>
        <v>2344.27</v>
      </c>
      <c r="L33" s="3"/>
      <c r="M33" s="3">
        <v>178.06</v>
      </c>
      <c r="N33" s="2">
        <f t="shared" si="9"/>
        <v>572.59000000000015</v>
      </c>
      <c r="O33" s="2">
        <f t="shared" si="2"/>
        <v>750.65000000000009</v>
      </c>
      <c r="P33" s="18">
        <f>SUM(K33-O33)+H33</f>
        <v>1593.62</v>
      </c>
      <c r="Q33" s="24"/>
      <c r="R33" s="25">
        <v>1593.62</v>
      </c>
    </row>
    <row r="34" spans="1:18" x14ac:dyDescent="0.25">
      <c r="A34" s="50">
        <v>28</v>
      </c>
      <c r="B34" s="16" t="s">
        <v>19</v>
      </c>
      <c r="C34" s="14">
        <f>5294.79+825.99</f>
        <v>6120.78</v>
      </c>
      <c r="D34" s="28">
        <v>1058.96</v>
      </c>
      <c r="E34" s="31"/>
      <c r="F34" s="31"/>
      <c r="G34" s="31"/>
      <c r="H34" s="31"/>
      <c r="I34" s="32"/>
      <c r="J34" s="32"/>
      <c r="K34" s="12">
        <f>SUM(C34:I34)</f>
        <v>7179.74</v>
      </c>
      <c r="L34" s="3">
        <v>877.26</v>
      </c>
      <c r="M34" s="3">
        <f>499.79+328.59</f>
        <v>828.38</v>
      </c>
      <c r="N34" s="2">
        <f t="shared" si="9"/>
        <v>66.409999999999854</v>
      </c>
      <c r="O34" s="2">
        <f t="shared" si="2"/>
        <v>1772.0499999999997</v>
      </c>
      <c r="P34" s="18">
        <f t="shared" si="3"/>
        <v>5407.6900000000005</v>
      </c>
      <c r="Q34" s="24"/>
      <c r="R34" s="25">
        <v>5407.69</v>
      </c>
    </row>
    <row r="35" spans="1:18" x14ac:dyDescent="0.25">
      <c r="A35" s="50">
        <v>29</v>
      </c>
      <c r="B35" s="16" t="s">
        <v>20</v>
      </c>
      <c r="C35" s="14">
        <f>12496.24+3748.87</f>
        <v>16245.11</v>
      </c>
      <c r="D35" s="28">
        <v>2499.25</v>
      </c>
      <c r="E35" s="31"/>
      <c r="F35" s="31"/>
      <c r="G35" s="31"/>
      <c r="H35" s="31"/>
      <c r="I35" s="32"/>
      <c r="J35" s="32"/>
      <c r="K35" s="12">
        <f t="shared" ref="K35:K40" si="15">SUM(C35:I35)</f>
        <v>18744.36</v>
      </c>
      <c r="L35" s="3">
        <v>4005.4</v>
      </c>
      <c r="M35" s="3">
        <v>828.38</v>
      </c>
      <c r="N35" s="2">
        <f t="shared" si="9"/>
        <v>6.4700000000011642</v>
      </c>
      <c r="O35" s="2">
        <f t="shared" si="2"/>
        <v>4840.2500000000009</v>
      </c>
      <c r="P35" s="18">
        <f t="shared" si="3"/>
        <v>13904.11</v>
      </c>
      <c r="Q35" s="24"/>
      <c r="R35" s="25">
        <v>13904.11</v>
      </c>
    </row>
    <row r="36" spans="1:18" x14ac:dyDescent="0.25">
      <c r="A36" s="50">
        <v>30</v>
      </c>
      <c r="B36" s="16" t="s">
        <v>60</v>
      </c>
      <c r="C36" s="14">
        <f>5190.47+747.43</f>
        <v>5937.9000000000005</v>
      </c>
      <c r="D36" s="28">
        <v>1038.0899999999999</v>
      </c>
      <c r="E36" s="31"/>
      <c r="F36" s="31"/>
      <c r="G36" s="31"/>
      <c r="H36" s="31"/>
      <c r="I36" s="32"/>
      <c r="J36" s="32"/>
      <c r="K36" s="12">
        <f t="shared" si="15"/>
        <v>6975.9900000000007</v>
      </c>
      <c r="L36" s="3">
        <v>825.51</v>
      </c>
      <c r="M36" s="3">
        <v>812.81</v>
      </c>
      <c r="N36" s="2">
        <f t="shared" si="9"/>
        <v>31.470000000000255</v>
      </c>
      <c r="O36" s="2">
        <f t="shared" si="2"/>
        <v>1669.7900000000002</v>
      </c>
      <c r="P36" s="18">
        <f t="shared" si="3"/>
        <v>5306.2000000000007</v>
      </c>
      <c r="Q36" s="24"/>
      <c r="R36" s="25">
        <v>5306.2</v>
      </c>
    </row>
    <row r="37" spans="1:18" x14ac:dyDescent="0.25">
      <c r="A37" s="50">
        <v>31</v>
      </c>
      <c r="B37" s="16" t="s">
        <v>21</v>
      </c>
      <c r="C37" s="14">
        <f>4938.55+474.1</f>
        <v>5412.6500000000005</v>
      </c>
      <c r="D37" s="28">
        <v>987.71</v>
      </c>
      <c r="E37" s="31"/>
      <c r="F37" s="31"/>
      <c r="G37" s="31"/>
      <c r="H37" s="31"/>
      <c r="I37" s="32"/>
      <c r="J37" s="32"/>
      <c r="K37" s="12">
        <f t="shared" si="15"/>
        <v>6400.3600000000006</v>
      </c>
      <c r="L37" s="3">
        <v>585.1</v>
      </c>
      <c r="M37" s="3">
        <v>732.22</v>
      </c>
      <c r="N37" s="2">
        <f t="shared" si="9"/>
        <v>1741.23</v>
      </c>
      <c r="O37" s="2">
        <f t="shared" si="2"/>
        <v>3058.55</v>
      </c>
      <c r="P37" s="18">
        <f>SUM(K37-O37)+H37</f>
        <v>3341.8100000000004</v>
      </c>
      <c r="Q37" s="24"/>
      <c r="R37" s="25">
        <v>3341.81</v>
      </c>
    </row>
    <row r="38" spans="1:18" x14ac:dyDescent="0.25">
      <c r="A38" s="50">
        <v>32</v>
      </c>
      <c r="B38" s="16" t="s">
        <v>57</v>
      </c>
      <c r="C38" s="14">
        <f>1965.05+78.6</f>
        <v>2043.6499999999999</v>
      </c>
      <c r="D38" s="28"/>
      <c r="E38" s="31"/>
      <c r="F38" s="31">
        <f>67.2+2.69+23.29</f>
        <v>93.18</v>
      </c>
      <c r="G38" s="31"/>
      <c r="H38" s="31"/>
      <c r="I38" s="32"/>
      <c r="J38" s="32"/>
      <c r="K38" s="12">
        <f t="shared" si="15"/>
        <v>2136.83</v>
      </c>
      <c r="L38" s="3"/>
      <c r="M38" s="3">
        <f>167.14+6.99</f>
        <v>174.13</v>
      </c>
      <c r="N38" s="2">
        <f t="shared" ref="N38" si="16">K38-L38-M38-R38</f>
        <v>102.53999999999974</v>
      </c>
      <c r="O38" s="2">
        <f t="shared" ref="O38" si="17">SUM(L38:N38)</f>
        <v>276.66999999999973</v>
      </c>
      <c r="P38" s="18">
        <f t="shared" ref="P38" si="18">SUM(K38-O38)</f>
        <v>1860.1600000000003</v>
      </c>
      <c r="Q38" s="24"/>
      <c r="R38" s="25">
        <v>1860.16</v>
      </c>
    </row>
    <row r="39" spans="1:18" x14ac:dyDescent="0.25">
      <c r="A39" s="50">
        <v>33</v>
      </c>
      <c r="B39" s="16" t="s">
        <v>22</v>
      </c>
      <c r="C39" s="14">
        <v>3290.08</v>
      </c>
      <c r="D39" s="28"/>
      <c r="E39" s="31"/>
      <c r="F39" s="31"/>
      <c r="G39" s="31"/>
      <c r="H39" s="31"/>
      <c r="I39" s="32"/>
      <c r="J39" s="32"/>
      <c r="K39" s="12">
        <f t="shared" si="15"/>
        <v>3290.08</v>
      </c>
      <c r="L39" s="3">
        <v>93.14</v>
      </c>
      <c r="M39" s="3">
        <v>303.8</v>
      </c>
      <c r="N39" s="2">
        <f t="shared" si="9"/>
        <v>1012.1899999999998</v>
      </c>
      <c r="O39" s="2">
        <f t="shared" si="2"/>
        <v>1409.1299999999999</v>
      </c>
      <c r="P39" s="18">
        <f t="shared" si="3"/>
        <v>1880.95</v>
      </c>
      <c r="Q39" s="24"/>
      <c r="R39" s="25">
        <v>1880.95</v>
      </c>
    </row>
    <row r="40" spans="1:18" x14ac:dyDescent="0.25">
      <c r="A40" s="50">
        <v>34</v>
      </c>
      <c r="B40" s="16" t="s">
        <v>23</v>
      </c>
      <c r="C40" s="14">
        <f>12496.24+4048.78</f>
        <v>16545.02</v>
      </c>
      <c r="D40" s="28">
        <v>2499.25</v>
      </c>
      <c r="E40" s="31"/>
      <c r="F40" s="31"/>
      <c r="G40" s="31"/>
      <c r="H40" s="31"/>
      <c r="I40" s="32"/>
      <c r="J40" s="32"/>
      <c r="K40" s="12">
        <f t="shared" si="15"/>
        <v>19044.27</v>
      </c>
      <c r="L40" s="3">
        <v>4035.74</v>
      </c>
      <c r="M40" s="3">
        <v>828.38</v>
      </c>
      <c r="N40" s="2">
        <f t="shared" si="9"/>
        <v>79.470000000001164</v>
      </c>
      <c r="O40" s="2">
        <f t="shared" si="2"/>
        <v>4943.5900000000011</v>
      </c>
      <c r="P40" s="18">
        <f t="shared" si="3"/>
        <v>14100.68</v>
      </c>
      <c r="Q40" s="24"/>
      <c r="R40" s="25">
        <v>14100.68</v>
      </c>
    </row>
    <row r="41" spans="1:18" x14ac:dyDescent="0.25">
      <c r="A41" s="50">
        <v>35</v>
      </c>
      <c r="B41" s="38" t="s">
        <v>24</v>
      </c>
      <c r="C41" s="39">
        <v>2316.4299999999998</v>
      </c>
      <c r="D41" s="29"/>
      <c r="E41" s="40"/>
      <c r="F41" s="40"/>
      <c r="G41" s="40"/>
      <c r="H41" s="40"/>
      <c r="I41" s="37"/>
      <c r="J41" s="37"/>
      <c r="K41" s="41">
        <f t="shared" ref="K41:K49" si="19">SUM(C41:I41)</f>
        <v>2316.4299999999998</v>
      </c>
      <c r="L41" s="42">
        <v>16.66</v>
      </c>
      <c r="M41" s="42">
        <v>190.29</v>
      </c>
      <c r="N41" s="43">
        <f t="shared" ref="N41:N59" si="20">K41-L41-M41-R41</f>
        <v>431.24</v>
      </c>
      <c r="O41" s="43">
        <f t="shared" si="2"/>
        <v>638.19000000000005</v>
      </c>
      <c r="P41" s="44">
        <f t="shared" si="3"/>
        <v>1678.2399999999998</v>
      </c>
      <c r="Q41" s="24"/>
      <c r="R41" s="25">
        <v>1678.24</v>
      </c>
    </row>
    <row r="42" spans="1:18" x14ac:dyDescent="0.25">
      <c r="A42" s="50">
        <v>36</v>
      </c>
      <c r="B42" s="16" t="s">
        <v>25</v>
      </c>
      <c r="C42" s="14">
        <v>4550.51</v>
      </c>
      <c r="D42" s="28"/>
      <c r="E42" s="31"/>
      <c r="F42" s="31"/>
      <c r="G42" s="31"/>
      <c r="H42" s="31"/>
      <c r="I42" s="33"/>
      <c r="J42" s="33"/>
      <c r="K42" s="12">
        <f t="shared" si="19"/>
        <v>4550.51</v>
      </c>
      <c r="L42" s="3">
        <v>281.26</v>
      </c>
      <c r="M42" s="3">
        <v>473.24</v>
      </c>
      <c r="N42" s="2">
        <f t="shared" si="20"/>
        <v>528.18000000000029</v>
      </c>
      <c r="O42" s="2">
        <f t="shared" si="2"/>
        <v>1282.6800000000003</v>
      </c>
      <c r="P42" s="18">
        <f t="shared" si="3"/>
        <v>3267.83</v>
      </c>
      <c r="Q42" s="24"/>
      <c r="R42" s="25">
        <v>3267.83</v>
      </c>
    </row>
    <row r="43" spans="1:18" x14ac:dyDescent="0.25">
      <c r="A43" s="50">
        <v>37</v>
      </c>
      <c r="B43" s="16" t="s">
        <v>26</v>
      </c>
      <c r="C43" s="14">
        <f>9484.31</f>
        <v>9484.31</v>
      </c>
      <c r="D43" s="28"/>
      <c r="E43" s="31"/>
      <c r="F43" s="31"/>
      <c r="G43" s="31"/>
      <c r="H43" s="31"/>
      <c r="I43" s="33">
        <v>2873.96</v>
      </c>
      <c r="J43" s="33"/>
      <c r="K43" s="12">
        <f t="shared" si="19"/>
        <v>12358.27</v>
      </c>
      <c r="L43" s="3">
        <v>2249.2199999999998</v>
      </c>
      <c r="M43" s="3">
        <v>828.38</v>
      </c>
      <c r="N43" s="2">
        <f t="shared" si="20"/>
        <v>742.45000000000255</v>
      </c>
      <c r="O43" s="2">
        <f t="shared" si="2"/>
        <v>3820.0500000000025</v>
      </c>
      <c r="P43" s="18">
        <f t="shared" si="3"/>
        <v>8538.2199999999975</v>
      </c>
      <c r="Q43" s="24"/>
      <c r="R43" s="25">
        <v>8538.2199999999993</v>
      </c>
    </row>
    <row r="44" spans="1:18" x14ac:dyDescent="0.25">
      <c r="A44" s="50">
        <v>38</v>
      </c>
      <c r="B44" s="16" t="s">
        <v>27</v>
      </c>
      <c r="C44" s="14">
        <f>5559.64+2889.91</f>
        <v>8449.5499999999993</v>
      </c>
      <c r="D44" s="28">
        <v>6000</v>
      </c>
      <c r="E44" s="31"/>
      <c r="F44" s="31"/>
      <c r="G44" s="31"/>
      <c r="H44" s="31"/>
      <c r="I44" s="33"/>
      <c r="J44" s="33"/>
      <c r="K44" s="12">
        <f t="shared" si="19"/>
        <v>14449.55</v>
      </c>
      <c r="L44" s="3">
        <v>2824.32</v>
      </c>
      <c r="M44" s="3">
        <v>828.38</v>
      </c>
      <c r="N44" s="2">
        <f>K44-L44-M44-R44</f>
        <v>950.97000000000116</v>
      </c>
      <c r="O44" s="2">
        <f>SUM(L44:N44)</f>
        <v>4603.6700000000019</v>
      </c>
      <c r="P44" s="18">
        <f t="shared" si="3"/>
        <v>9845.8799999999974</v>
      </c>
      <c r="Q44" s="24"/>
      <c r="R44" s="25">
        <v>9845.8799999999992</v>
      </c>
    </row>
    <row r="45" spans="1:18" x14ac:dyDescent="0.25">
      <c r="A45" s="50">
        <v>39</v>
      </c>
      <c r="B45" s="16" t="s">
        <v>28</v>
      </c>
      <c r="C45" s="14">
        <f>4325.39+778.57</f>
        <v>5103.96</v>
      </c>
      <c r="D45" s="28">
        <v>865.08</v>
      </c>
      <c r="E45" s="31"/>
      <c r="F45" s="31">
        <f>173.02+865.08+155.71+397.94</f>
        <v>1591.7500000000002</v>
      </c>
      <c r="G45" s="31"/>
      <c r="H45" s="31">
        <f>2595.24+467.14+519.05</f>
        <v>3581.4299999999994</v>
      </c>
      <c r="I45" s="33"/>
      <c r="J45" s="33"/>
      <c r="K45" s="12">
        <f t="shared" si="19"/>
        <v>11142.22</v>
      </c>
      <c r="L45" s="3">
        <f>474.44</f>
        <v>474.44</v>
      </c>
      <c r="M45" s="3">
        <v>828.38</v>
      </c>
      <c r="N45" s="2">
        <f t="shared" si="20"/>
        <v>5525.48</v>
      </c>
      <c r="O45" s="2">
        <f t="shared" si="2"/>
        <v>6828.2999999999993</v>
      </c>
      <c r="P45" s="18">
        <f t="shared" si="3"/>
        <v>4313.92</v>
      </c>
      <c r="Q45" s="24"/>
      <c r="R45" s="25">
        <v>4313.92</v>
      </c>
    </row>
    <row r="46" spans="1:18" x14ac:dyDescent="0.25">
      <c r="A46" s="50">
        <v>40</v>
      </c>
      <c r="B46" s="16" t="s">
        <v>29</v>
      </c>
      <c r="C46" s="14">
        <f>7393.35</f>
        <v>7393.35</v>
      </c>
      <c r="D46" s="28"/>
      <c r="E46" s="31"/>
      <c r="F46" s="28"/>
      <c r="G46" s="31"/>
      <c r="H46" s="31"/>
      <c r="I46" s="33"/>
      <c r="J46" s="33"/>
      <c r="K46" s="12">
        <f t="shared" si="19"/>
        <v>7393.35</v>
      </c>
      <c r="L46" s="3">
        <v>883.87</v>
      </c>
      <c r="M46" s="3">
        <v>828.38</v>
      </c>
      <c r="N46" s="2">
        <f t="shared" si="20"/>
        <v>974.65000000000055</v>
      </c>
      <c r="O46" s="2">
        <f t="shared" si="2"/>
        <v>2686.9000000000005</v>
      </c>
      <c r="P46" s="18">
        <f>SUM(K46-O46)+H46</f>
        <v>4706.45</v>
      </c>
      <c r="Q46" s="24"/>
      <c r="R46" s="25">
        <v>4706.45</v>
      </c>
    </row>
    <row r="47" spans="1:18" x14ac:dyDescent="0.25">
      <c r="A47" s="50">
        <v>41</v>
      </c>
      <c r="B47" s="16" t="s">
        <v>30</v>
      </c>
      <c r="C47" s="14">
        <f>5190.47+747.43</f>
        <v>5937.9000000000005</v>
      </c>
      <c r="D47" s="28">
        <v>1038.0899999999999</v>
      </c>
      <c r="E47" s="31"/>
      <c r="F47" s="31"/>
      <c r="G47" s="31"/>
      <c r="H47" s="31"/>
      <c r="I47" s="33"/>
      <c r="J47" s="33"/>
      <c r="K47" s="12">
        <f t="shared" si="19"/>
        <v>6975.9900000000007</v>
      </c>
      <c r="L47" s="3">
        <v>825.51</v>
      </c>
      <c r="M47" s="3">
        <v>812.81</v>
      </c>
      <c r="N47" s="2">
        <f t="shared" si="20"/>
        <v>949.5600000000004</v>
      </c>
      <c r="O47" s="2">
        <f t="shared" si="2"/>
        <v>2587.88</v>
      </c>
      <c r="P47" s="18">
        <f>SUM(K47-O47)+H47</f>
        <v>4388.1100000000006</v>
      </c>
      <c r="Q47" s="24"/>
      <c r="R47" s="25">
        <v>4388.1099999999997</v>
      </c>
    </row>
    <row r="48" spans="1:18" x14ac:dyDescent="0.25">
      <c r="A48" s="50">
        <v>42</v>
      </c>
      <c r="B48" s="16" t="s">
        <v>31</v>
      </c>
      <c r="C48" s="14">
        <v>4483.93</v>
      </c>
      <c r="D48" s="28"/>
      <c r="E48" s="31"/>
      <c r="F48" s="31"/>
      <c r="G48" s="31"/>
      <c r="H48" s="31"/>
      <c r="I48" s="33"/>
      <c r="J48" s="33"/>
      <c r="K48" s="12">
        <f t="shared" si="19"/>
        <v>4483.93</v>
      </c>
      <c r="L48" s="3">
        <v>191.32</v>
      </c>
      <c r="M48" s="3">
        <v>463.92</v>
      </c>
      <c r="N48" s="2">
        <f t="shared" si="20"/>
        <v>777.91000000000031</v>
      </c>
      <c r="O48" s="2">
        <f t="shared" si="2"/>
        <v>1433.1500000000003</v>
      </c>
      <c r="P48" s="18">
        <f t="shared" si="3"/>
        <v>3050.7799999999997</v>
      </c>
      <c r="Q48" s="24"/>
      <c r="R48" s="25">
        <v>3050.78</v>
      </c>
    </row>
    <row r="49" spans="1:18" x14ac:dyDescent="0.25">
      <c r="A49" s="50">
        <v>43</v>
      </c>
      <c r="B49" s="16" t="s">
        <v>83</v>
      </c>
      <c r="C49" s="14">
        <f>496.08+52.88</f>
        <v>548.96</v>
      </c>
      <c r="D49" s="28"/>
      <c r="E49" s="31"/>
      <c r="F49" s="31">
        <f>2455.62+818.54+59.34+164.84</f>
        <v>3498.34</v>
      </c>
      <c r="G49" s="31"/>
      <c r="H49" s="31">
        <v>669.72</v>
      </c>
      <c r="I49" s="33"/>
      <c r="J49" s="33"/>
      <c r="K49" s="12">
        <f t="shared" si="19"/>
        <v>4717.0200000000004</v>
      </c>
      <c r="L49" s="3"/>
      <c r="M49" s="3">
        <f>57.98+50.22</f>
        <v>108.19999999999999</v>
      </c>
      <c r="N49" s="2">
        <f t="shared" si="20"/>
        <v>1015.8400000000006</v>
      </c>
      <c r="O49" s="2">
        <f t="shared" si="2"/>
        <v>1124.0400000000006</v>
      </c>
      <c r="P49" s="18">
        <f t="shared" si="3"/>
        <v>3592.9799999999996</v>
      </c>
      <c r="Q49" s="24"/>
      <c r="R49" s="25">
        <v>3592.98</v>
      </c>
    </row>
    <row r="50" spans="1:18" x14ac:dyDescent="0.25">
      <c r="A50" s="50">
        <v>44</v>
      </c>
      <c r="B50" s="16" t="s">
        <v>32</v>
      </c>
      <c r="C50" s="14">
        <f>5190.47+944.67</f>
        <v>6135.14</v>
      </c>
      <c r="D50" s="28">
        <v>2076.19</v>
      </c>
      <c r="E50" s="31"/>
      <c r="F50" s="31"/>
      <c r="G50" s="31"/>
      <c r="H50" s="31"/>
      <c r="I50" s="33"/>
      <c r="J50" s="33"/>
      <c r="K50" s="12">
        <f t="shared" ref="K50:K57" si="21">SUM(C50:I50)</f>
        <v>8211.33</v>
      </c>
      <c r="L50" s="3">
        <v>1108.81</v>
      </c>
      <c r="M50" s="3">
        <v>828.38</v>
      </c>
      <c r="N50" s="2">
        <f t="shared" si="20"/>
        <v>234.95000000000073</v>
      </c>
      <c r="O50" s="2">
        <f t="shared" si="2"/>
        <v>2172.1400000000008</v>
      </c>
      <c r="P50" s="18">
        <f t="shared" si="3"/>
        <v>6039.1899999999987</v>
      </c>
      <c r="Q50" s="24"/>
      <c r="R50" s="25">
        <v>6039.19</v>
      </c>
    </row>
    <row r="51" spans="1:18" x14ac:dyDescent="0.25">
      <c r="A51" s="50">
        <v>45</v>
      </c>
      <c r="B51" s="16" t="s">
        <v>33</v>
      </c>
      <c r="C51" s="14">
        <v>5852.04</v>
      </c>
      <c r="D51" s="28"/>
      <c r="E51" s="31"/>
      <c r="F51" s="31"/>
      <c r="G51" s="31"/>
      <c r="H51" s="31"/>
      <c r="I51" s="33"/>
      <c r="J51" s="33"/>
      <c r="K51" s="12">
        <f t="shared" si="21"/>
        <v>5852.04</v>
      </c>
      <c r="L51" s="3">
        <v>507.56</v>
      </c>
      <c r="M51" s="3">
        <v>655.46</v>
      </c>
      <c r="N51" s="2">
        <f t="shared" si="20"/>
        <v>892.76999999999953</v>
      </c>
      <c r="O51" s="2">
        <f t="shared" si="2"/>
        <v>2055.7899999999995</v>
      </c>
      <c r="P51" s="18">
        <f t="shared" si="3"/>
        <v>3796.2500000000005</v>
      </c>
      <c r="Q51" s="24"/>
      <c r="R51" s="25">
        <v>3796.25</v>
      </c>
    </row>
    <row r="52" spans="1:18" x14ac:dyDescent="0.25">
      <c r="A52" s="50">
        <v>46</v>
      </c>
      <c r="B52" s="16" t="s">
        <v>56</v>
      </c>
      <c r="C52" s="14">
        <v>2114.12</v>
      </c>
      <c r="D52" s="28"/>
      <c r="E52" s="31"/>
      <c r="F52" s="31"/>
      <c r="G52" s="31"/>
      <c r="H52" s="31"/>
      <c r="I52" s="33"/>
      <c r="J52" s="33"/>
      <c r="K52" s="12">
        <f t="shared" si="21"/>
        <v>2114.12</v>
      </c>
      <c r="L52" s="3"/>
      <c r="M52" s="3">
        <v>172.09</v>
      </c>
      <c r="N52" s="2">
        <f t="shared" ref="N52" si="22">K52-L52-M52-R52</f>
        <v>6.4700000000000273</v>
      </c>
      <c r="O52" s="2">
        <f t="shared" ref="O52" si="23">SUM(L52:N52)</f>
        <v>178.56000000000003</v>
      </c>
      <c r="P52" s="18">
        <f t="shared" ref="P52" si="24">SUM(K52-O52)</f>
        <v>1935.56</v>
      </c>
      <c r="Q52" s="24"/>
      <c r="R52" s="25">
        <v>1935.56</v>
      </c>
    </row>
    <row r="53" spans="1:18" x14ac:dyDescent="0.25">
      <c r="A53" s="50">
        <v>47</v>
      </c>
      <c r="B53" s="16" t="s">
        <v>34</v>
      </c>
      <c r="C53" s="14">
        <f>12496.24+4348.69</f>
        <v>16844.93</v>
      </c>
      <c r="D53" s="28">
        <v>2499.25</v>
      </c>
      <c r="E53" s="31"/>
      <c r="F53" s="31"/>
      <c r="G53" s="31"/>
      <c r="H53" s="31"/>
      <c r="I53" s="33"/>
      <c r="J53" s="33"/>
      <c r="K53" s="12">
        <f t="shared" si="21"/>
        <v>19344.18</v>
      </c>
      <c r="L53" s="3">
        <v>4222.4799999999996</v>
      </c>
      <c r="M53" s="3">
        <f>396.32+432.06</f>
        <v>828.38</v>
      </c>
      <c r="N53" s="2">
        <f t="shared" si="20"/>
        <v>6.4700000000011642</v>
      </c>
      <c r="O53" s="2">
        <f t="shared" si="2"/>
        <v>5057.3300000000008</v>
      </c>
      <c r="P53" s="18">
        <f>SUM(K53-O53)+H53</f>
        <v>14286.849999999999</v>
      </c>
      <c r="Q53" s="24"/>
      <c r="R53" s="25">
        <v>14286.85</v>
      </c>
    </row>
    <row r="54" spans="1:18" x14ac:dyDescent="0.25">
      <c r="A54" s="50">
        <v>48</v>
      </c>
      <c r="B54" s="16" t="s">
        <v>35</v>
      </c>
      <c r="C54" s="14">
        <v>2402.2600000000002</v>
      </c>
      <c r="D54" s="28"/>
      <c r="E54" s="31"/>
      <c r="F54" s="31"/>
      <c r="G54" s="31"/>
      <c r="H54" s="31"/>
      <c r="I54" s="33"/>
      <c r="J54" s="33"/>
      <c r="K54" s="12">
        <f t="shared" si="21"/>
        <v>2402.2600000000002</v>
      </c>
      <c r="L54" s="3">
        <v>22.52</v>
      </c>
      <c r="M54" s="3">
        <v>198.02</v>
      </c>
      <c r="N54" s="2">
        <f t="shared" si="20"/>
        <v>41.650000000000091</v>
      </c>
      <c r="O54" s="2">
        <f t="shared" si="2"/>
        <v>262.19000000000011</v>
      </c>
      <c r="P54" s="18">
        <f t="shared" si="3"/>
        <v>2140.0700000000002</v>
      </c>
      <c r="Q54" s="24"/>
      <c r="R54" s="25">
        <v>2140.0700000000002</v>
      </c>
    </row>
    <row r="55" spans="1:18" x14ac:dyDescent="0.25">
      <c r="A55" s="50">
        <v>49</v>
      </c>
      <c r="B55" s="16" t="s">
        <v>76</v>
      </c>
      <c r="C55" s="14">
        <v>2863.35</v>
      </c>
      <c r="D55" s="28"/>
      <c r="E55" s="31"/>
      <c r="F55" s="31"/>
      <c r="G55" s="31"/>
      <c r="H55" s="31"/>
      <c r="I55" s="33"/>
      <c r="J55" s="33"/>
      <c r="K55" s="12">
        <f t="shared" si="21"/>
        <v>2863.35</v>
      </c>
      <c r="L55" s="3">
        <v>53.01</v>
      </c>
      <c r="M55" s="3">
        <v>252.6</v>
      </c>
      <c r="N55" s="2">
        <f t="shared" ref="N55" si="25">K55-L55-M55-R55</f>
        <v>584.4699999999998</v>
      </c>
      <c r="O55" s="2">
        <f t="shared" ref="O55" si="26">SUM(L55:N55)</f>
        <v>890.07999999999981</v>
      </c>
      <c r="P55" s="18">
        <f t="shared" ref="P55" si="27">SUM(K55-O55)</f>
        <v>1973.27</v>
      </c>
      <c r="Q55" s="24"/>
      <c r="R55" s="25">
        <v>1973.27</v>
      </c>
    </row>
    <row r="56" spans="1:18" x14ac:dyDescent="0.25">
      <c r="A56" s="50">
        <v>50</v>
      </c>
      <c r="B56" s="16" t="s">
        <v>36</v>
      </c>
      <c r="C56" s="14">
        <f>10838.97+4292.23</f>
        <v>15131.199999999999</v>
      </c>
      <c r="D56" s="28">
        <v>2167.79</v>
      </c>
      <c r="E56" s="31"/>
      <c r="F56" s="31"/>
      <c r="G56" s="31"/>
      <c r="H56" s="31"/>
      <c r="I56" s="33"/>
      <c r="J56" s="33"/>
      <c r="K56" s="12">
        <f t="shared" si="21"/>
        <v>17298.989999999998</v>
      </c>
      <c r="L56" s="3">
        <v>3607.92</v>
      </c>
      <c r="M56" s="3">
        <v>828.38</v>
      </c>
      <c r="N56" s="2">
        <f t="shared" si="20"/>
        <v>1681.0699999999979</v>
      </c>
      <c r="O56" s="2">
        <f t="shared" si="2"/>
        <v>6117.3699999999981</v>
      </c>
      <c r="P56" s="18">
        <f>SUM(K56-O56)+H56</f>
        <v>11181.619999999999</v>
      </c>
      <c r="Q56" s="24"/>
      <c r="R56" s="25">
        <v>11181.62</v>
      </c>
    </row>
    <row r="57" spans="1:18" x14ac:dyDescent="0.25">
      <c r="A57" s="50">
        <v>51</v>
      </c>
      <c r="B57" s="16" t="s">
        <v>37</v>
      </c>
      <c r="C57" s="14">
        <v>5409.78</v>
      </c>
      <c r="D57" s="28"/>
      <c r="E57" s="31"/>
      <c r="F57" s="31"/>
      <c r="G57" s="31"/>
      <c r="H57" s="31"/>
      <c r="I57" s="33"/>
      <c r="J57" s="33"/>
      <c r="K57" s="12">
        <f t="shared" si="21"/>
        <v>5409.78</v>
      </c>
      <c r="L57" s="3">
        <v>404.87</v>
      </c>
      <c r="M57" s="3">
        <v>593.54</v>
      </c>
      <c r="N57" s="2">
        <f t="shared" si="20"/>
        <v>1690.5699999999997</v>
      </c>
      <c r="O57" s="2">
        <f t="shared" si="2"/>
        <v>2688.9799999999996</v>
      </c>
      <c r="P57" s="18">
        <f t="shared" si="3"/>
        <v>2720.8</v>
      </c>
      <c r="Q57" s="24"/>
      <c r="R57" s="25">
        <v>2720.8</v>
      </c>
    </row>
    <row r="58" spans="1:18" x14ac:dyDescent="0.25">
      <c r="A58" s="50">
        <v>52</v>
      </c>
      <c r="B58" s="16" t="s">
        <v>62</v>
      </c>
      <c r="C58" s="14">
        <f>4253.82+85.08</f>
        <v>4338.8999999999996</v>
      </c>
      <c r="D58" s="28">
        <v>197.13</v>
      </c>
      <c r="E58" s="31"/>
      <c r="F58" s="31"/>
      <c r="G58" s="31"/>
      <c r="H58" s="31"/>
      <c r="I58" s="33"/>
      <c r="J58" s="33"/>
      <c r="K58" s="12">
        <f>SUM(C58:I58)</f>
        <v>4536.03</v>
      </c>
      <c r="L58" s="3">
        <v>278.45</v>
      </c>
      <c r="M58" s="3">
        <v>471.22</v>
      </c>
      <c r="N58" s="2">
        <f t="shared" ref="N58" si="28">K58-L58-M58-R58</f>
        <v>1057.8999999999996</v>
      </c>
      <c r="O58" s="2">
        <f t="shared" ref="O58" si="29">SUM(L58:N58)</f>
        <v>1807.5699999999997</v>
      </c>
      <c r="P58" s="18">
        <f t="shared" ref="P58" si="30">SUM(K58-O58)</f>
        <v>2728.46</v>
      </c>
      <c r="Q58" s="24"/>
      <c r="R58" s="25">
        <v>2728.46</v>
      </c>
    </row>
    <row r="59" spans="1:18" ht="15.75" thickBot="1" x14ac:dyDescent="0.3">
      <c r="A59" s="50">
        <v>53</v>
      </c>
      <c r="B59" s="17" t="s">
        <v>38</v>
      </c>
      <c r="C59" s="15">
        <f>8329.71+1299.43</f>
        <v>9629.14</v>
      </c>
      <c r="D59" s="30">
        <v>1665.94</v>
      </c>
      <c r="E59" s="34"/>
      <c r="F59" s="34"/>
      <c r="G59" s="34"/>
      <c r="H59" s="34"/>
      <c r="I59" s="35">
        <v>2873.95</v>
      </c>
      <c r="J59" s="35"/>
      <c r="K59" s="13">
        <f>SUM(C59:J59)</f>
        <v>14169.029999999999</v>
      </c>
      <c r="L59" s="10">
        <v>2747.18</v>
      </c>
      <c r="M59" s="10">
        <v>828.38</v>
      </c>
      <c r="N59" s="11">
        <f t="shared" si="20"/>
        <v>69.269999999998618</v>
      </c>
      <c r="O59" s="11">
        <f t="shared" si="2"/>
        <v>3644.8299999999986</v>
      </c>
      <c r="P59" s="19">
        <f t="shared" si="3"/>
        <v>10524.2</v>
      </c>
      <c r="Q59" s="24"/>
      <c r="R59" s="25">
        <v>10524.2</v>
      </c>
    </row>
    <row r="60" spans="1:18" ht="15.75" thickBot="1" x14ac:dyDescent="0.3"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</row>
    <row r="61" spans="1:18" x14ac:dyDescent="0.25">
      <c r="B61" s="63" t="s">
        <v>78</v>
      </c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5"/>
    </row>
    <row r="62" spans="1:18" x14ac:dyDescent="0.25">
      <c r="B62" s="67" t="s">
        <v>79</v>
      </c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9"/>
    </row>
    <row r="63" spans="1:18" ht="5.25" customHeight="1" x14ac:dyDescent="0.25">
      <c r="B63" s="54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6"/>
    </row>
    <row r="64" spans="1:18" x14ac:dyDescent="0.25">
      <c r="B64" s="57" t="s">
        <v>71</v>
      </c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9"/>
    </row>
    <row r="65" spans="2:16" x14ac:dyDescent="0.25">
      <c r="B65" s="60" t="s">
        <v>68</v>
      </c>
      <c r="C65" s="61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2"/>
    </row>
    <row r="66" spans="2:16" x14ac:dyDescent="0.25">
      <c r="B66" s="60" t="s">
        <v>69</v>
      </c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2"/>
    </row>
    <row r="67" spans="2:16" x14ac:dyDescent="0.25">
      <c r="B67" s="60" t="s">
        <v>70</v>
      </c>
      <c r="C67" s="61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2"/>
    </row>
    <row r="68" spans="2:16" ht="15.75" thickBot="1" x14ac:dyDescent="0.3">
      <c r="B68" s="51" t="s">
        <v>80</v>
      </c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3"/>
    </row>
    <row r="69" spans="2:16" x14ac:dyDescent="0.25"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</row>
    <row r="70" spans="2:16" x14ac:dyDescent="0.25">
      <c r="B70" s="6"/>
      <c r="C70" s="5"/>
      <c r="D70" s="27"/>
      <c r="E70" s="5"/>
      <c r="F70" s="27"/>
      <c r="G70" s="27"/>
      <c r="H70" s="5"/>
      <c r="I70" s="5"/>
      <c r="J70" s="27"/>
      <c r="K70" s="5"/>
      <c r="L70" s="5"/>
      <c r="M70" s="5"/>
      <c r="N70" s="5"/>
      <c r="O70" s="5"/>
      <c r="P70" s="5"/>
    </row>
    <row r="71" spans="2:16" x14ac:dyDescent="0.25"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</row>
    <row r="74" spans="2:16" x14ac:dyDescent="0.25">
      <c r="K74" s="1"/>
      <c r="O74" s="1"/>
    </row>
  </sheetData>
  <mergeCells count="19">
    <mergeCell ref="B61:P61"/>
    <mergeCell ref="B60:P60"/>
    <mergeCell ref="B62:P62"/>
    <mergeCell ref="B1:P1"/>
    <mergeCell ref="B2:P2"/>
    <mergeCell ref="B3:P3"/>
    <mergeCell ref="B5:B6"/>
    <mergeCell ref="C5:C6"/>
    <mergeCell ref="L5:L6"/>
    <mergeCell ref="M5:M6"/>
    <mergeCell ref="E5:E6"/>
    <mergeCell ref="D5:D6"/>
    <mergeCell ref="F5:F6"/>
    <mergeCell ref="B68:P68"/>
    <mergeCell ref="B63:P63"/>
    <mergeCell ref="B64:P64"/>
    <mergeCell ref="B65:P65"/>
    <mergeCell ref="B67:P67"/>
    <mergeCell ref="B66:P66"/>
  </mergeCells>
  <pageMargins left="0.23622047244094491" right="3.937007874015748E-2" top="0.19685039370078741" bottom="0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mes</vt:lpstr>
      <vt:lpstr>mes!Area_de_impressao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Aurelio</dc:creator>
  <cp:lastModifiedBy>Marco Aurelio</cp:lastModifiedBy>
  <cp:lastPrinted>2022-04-28T20:02:01Z</cp:lastPrinted>
  <dcterms:created xsi:type="dcterms:W3CDTF">2016-04-28T12:49:34Z</dcterms:created>
  <dcterms:modified xsi:type="dcterms:W3CDTF">2022-04-28T20:04:54Z</dcterms:modified>
</cp:coreProperties>
</file>